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thecenturionsaz-my.sharepoint.com/personal/admin_thecenturions_com/Documents/Shared/Points/"/>
    </mc:Choice>
  </mc:AlternateContent>
  <xr:revisionPtr revIDLastSave="4158" documentId="8_{F9941896-FBF6-4630-BD38-FB8514D2E5E8}" xr6:coauthVersionLast="47" xr6:coauthVersionMax="47" xr10:uidLastSave="{B11FCB7F-11FA-4731-8FC8-5A0EAFE5DD44}"/>
  <bookViews>
    <workbookView minimized="1" xWindow="-21270" yWindow="795" windowWidth="18420" windowHeight="13785" xr2:uid="{7D892FC2-81B7-455A-97A4-8F8D38807037}"/>
  </bookViews>
  <sheets>
    <sheet name="POINTS SUMMARY" sheetId="1" r:id="rId1"/>
    <sheet name="MEMBERSHIP SERVICE" sheetId="4" r:id="rId2"/>
    <sheet name="EVENT SERVICE" sheetId="3" r:id="rId3"/>
    <sheet name="EVENT SALES" sheetId="2" r:id="rId4"/>
  </sheets>
  <definedNames>
    <definedName name="_xlnm._FilterDatabase" localSheetId="1" hidden="1">'MEMBERSHIP SERVICE'!$A$1:$AO$93</definedName>
    <definedName name="_xlnm._FilterDatabase" localSheetId="0" hidden="1">'POINTS SUMMARY'!$A$2:$C$102</definedName>
    <definedName name="AaronMeyerEVENT">'EVENT SERVICE'!$C$56</definedName>
    <definedName name="AaronMeyerMEMB">'MEMBERSHIP SERVICE'!$C$56</definedName>
    <definedName name="AaronMeyerSALES">'EVENT SALES'!$D$56</definedName>
    <definedName name="AaronSkoczenEVENT">'EVENT SERVICE'!$C$80</definedName>
    <definedName name="AaronSkoczenMEMB">'MEMBERSHIP SERVICE'!$C$80</definedName>
    <definedName name="AaronSkoczenSALES">'EVENT SALES'!$D$80</definedName>
    <definedName name="AdamBegodyEVENT">'EVENT SERVICE'!$C$7</definedName>
    <definedName name="AdamBegodyMEMB">'MEMBERSHIP SERVICE'!$C$7</definedName>
    <definedName name="AdamBegodySALES">'EVENT SALES'!$D$7</definedName>
    <definedName name="AdamChurchillEVENT">'EVENT SERVICE'!$C$14</definedName>
    <definedName name="AdamChurchillMEMB">'MEMBERSHIP SERVICE'!$C$14</definedName>
    <definedName name="AdamChurchillSALES">'EVENT SALES'!$D$14</definedName>
    <definedName name="AdamDellosEVENT">'EVENT SERVICE'!$C$21</definedName>
    <definedName name="AdamDellosMEMB">'MEMBERSHIP SERVICE'!$C$21</definedName>
    <definedName name="AdamDellosSALES">'EVENT SALES'!$D$21</definedName>
    <definedName name="AJEmamiEVENT">'EVENT SERVICE'!$C$25</definedName>
    <definedName name="AJEmamiMEMB">'MEMBERSHIP SERVICE'!$C$25</definedName>
    <definedName name="AJEmamiSALES">'EVENT SALES'!$D$25</definedName>
    <definedName name="AmadoGregEVENT">'EVENT SERVICE'!$C$3</definedName>
    <definedName name="AndrewClarkEVENT">'EVENT SERVICE'!$C$15</definedName>
    <definedName name="AndrewClarkMEMB">'MEMBERSHIP SERVICE'!$C$15</definedName>
    <definedName name="AndrewClarkSALES">'EVENT SALES'!$D$15</definedName>
    <definedName name="AndrewSchmukerEVENT">'EVENT SERVICE'!$C$76</definedName>
    <definedName name="AndrewSchmukerMEMB">'MEMBERSHIP SERVICE'!$C$76</definedName>
    <definedName name="AndrewSchmukerSALES">'EVENT SALES'!$D$76</definedName>
    <definedName name="AndyBrownEVENT">'EVENT SERVICE'!$C$9</definedName>
    <definedName name="AndyBrownMEMB">'MEMBERSHIP SERVICE'!$C$9</definedName>
    <definedName name="AndyBrownSALES">'EVENT SALES'!$D$9</definedName>
    <definedName name="BenKornEVENT">'EVENT SERVICE'!$C$44</definedName>
    <definedName name="BenKornMEMB">'MEMBERSHIP SERVICE'!$C$44</definedName>
    <definedName name="BenKornSALES">'EVENT SALES'!$D$44</definedName>
    <definedName name="BenLadridoEVENT">'EVENT SERVICE'!$C$47</definedName>
    <definedName name="BenLadridoMEMB">'MEMBERSHIP SERVICE'!$C$47</definedName>
    <definedName name="BenLadridoSALES">'EVENT SALES'!$D$47</definedName>
    <definedName name="BillFetzerEVENT">'EVENT SERVICE'!$C$26</definedName>
    <definedName name="BillFetzerSALES">'EVENT SALES'!$D$26</definedName>
    <definedName name="BillFetzetMEMB">'MEMBERSHIP SERVICE'!$C$26</definedName>
    <definedName name="BillyShawEVENT">'EVENT SERVICE'!$C$79</definedName>
    <definedName name="BillyShawMEMB">'MEMBERSHIP SERVICE'!$C$79</definedName>
    <definedName name="BillyShawSALES">'EVENT SALES'!$D$79</definedName>
    <definedName name="BrettGouldEVENT">'EVENT SERVICE'!$C$33</definedName>
    <definedName name="BrettGouldMEMB">'MEMBERSHIP SERVICE'!$C$33</definedName>
    <definedName name="BrettGouldSALES">'EVENT SALES'!$D$33</definedName>
    <definedName name="BrianBurnettEVENT">'EVENT SERVICE'!$C$10</definedName>
    <definedName name="BrianBurnettMEMB">'MEMBERSHIP SERVICE'!$C$10</definedName>
    <definedName name="BrianBurnettSALES">'EVENT SALES'!$D$10</definedName>
    <definedName name="BrianCrowleyEVENT">'EVENT SERVICE'!$C$19</definedName>
    <definedName name="BrianCrowleyMEMB">'MEMBERSHIP SERVICE'!$C$19</definedName>
    <definedName name="BrianCrowleySALES">'EVENT SALES'!$D$19</definedName>
    <definedName name="BrianGardnerEVENT">'EVENT SERVICE'!$C$30</definedName>
    <definedName name="BrianGardnerMEMB">'MEMBERSHIP SERVICE'!$C$30</definedName>
    <definedName name="BrianGardnerSALES">'EVENT SALES'!$D$30</definedName>
    <definedName name="BroganKemmerlyEVENT">'EVENT SERVICE'!$C$41</definedName>
    <definedName name="BroganKemmerlyMEMB">'MEMBERSHIP SERVICE'!$C$41</definedName>
    <definedName name="BroganKemmerlySALES">'EVENT SALES'!$D$41</definedName>
    <definedName name="BryanFoersterEVENT">'EVENT SERVICE'!$C$28</definedName>
    <definedName name="BryanFoersterMEMB">'MEMBERSHIP SERVICE'!$C$28</definedName>
    <definedName name="BryanFoersterSALES">'EVENT SALES'!$D$28</definedName>
    <definedName name="CameronMcKayEVENT">'EVENT SERVICE'!$C$52</definedName>
    <definedName name="CameronMcKayMEMB">'MEMBERSHIP SERVICE'!$C$52</definedName>
    <definedName name="CameronMcKaySALES">'EVENT SALES'!$D$52</definedName>
    <definedName name="CameronMooreEVENT">'EVENT SERVICE'!$C$57</definedName>
    <definedName name="CameronMooreMEMB">'MEMBERSHIP SERVICE'!$C$57</definedName>
    <definedName name="CameronMooreSALES">'EVENT SALES'!$D$57</definedName>
    <definedName name="ChadCarneyEVENT">'EVENT SERVICE'!$C$12</definedName>
    <definedName name="ChadCarneyMEMB">'MEMBERSHIP SERVICE'!$C$12</definedName>
    <definedName name="ChadCarneySALES">'EVENT SALES'!$D$12</definedName>
    <definedName name="ChrisBrewsterEVENT">'EVENT SERVICE'!$C$8</definedName>
    <definedName name="ChrisBrewsterMEMB">'MEMBERSHIP SERVICE'!$C$8</definedName>
    <definedName name="ChrisBrewsterSALES">'EVENT SALES'!$D$8</definedName>
    <definedName name="ChrisCohenEVENT">'EVENT SERVICE'!$C$17</definedName>
    <definedName name="ChrisCohenMEMB">'MEMBERSHIP SERVICE'!$C$17</definedName>
    <definedName name="ChrisCohenSALES">'EVENT SALES'!$D$17</definedName>
    <definedName name="ChrisJohnsonEVENT">'EVENT SERVICE'!$C$39</definedName>
    <definedName name="ChrisJohnsonMEMB">'MEMBERSHIP SERVICE'!$C$39</definedName>
    <definedName name="ChrisJohnsonSALES">'EVENT SALES'!$D$39</definedName>
    <definedName name="ChrisJordanEVENT">'EVENT SERVICE'!$C$40</definedName>
    <definedName name="ChrisJordanMEMB">'MEMBERSHIP SERVICE'!$C$40</definedName>
    <definedName name="ChrisJordanSALES">'EVENT SALES'!$D$40</definedName>
    <definedName name="ClintReedEVENT">'EVENT SERVICE'!$C$69</definedName>
    <definedName name="ClintReedMEMB">'MEMBERSHIP SERVICE'!$C$69</definedName>
    <definedName name="ClintReedSALES">'EVENT SALES'!$D$69</definedName>
    <definedName name="ConorPattersonEVENT">'EVENT SERVICE'!$C$65</definedName>
    <definedName name="ConorPattersonMEMB">'MEMBERSHIP SERVICE'!$C$65</definedName>
    <definedName name="ConorPattersonSALES">'EVENT SALES'!$D$65</definedName>
    <definedName name="CraigEdwardsEVENT">'EVENT SERVICE'!$C$24</definedName>
    <definedName name="CraigEdwardsMEMB">'MEMBERSHIP SERVICE'!$C$24</definedName>
    <definedName name="CraigEdwardsSALES">'EVENT SALES'!$D$24</definedName>
    <definedName name="DanDolanEVENT">'EVENT SERVICE'!$C$22</definedName>
    <definedName name="DanDolanMEMB">'MEMBERSHIP SERVICE'!$C$22</definedName>
    <definedName name="DanDolanSALES">'EVENT SALES'!$D$22</definedName>
    <definedName name="DanNentlEVENT">'EVENT SERVICE'!$C$62</definedName>
    <definedName name="DanNentlMEMB">'MEMBERSHIP SERVICE'!$C$62</definedName>
    <definedName name="DanNentlSALES">'EVENT SALES'!$D$62</definedName>
    <definedName name="DannyCasselberryEVENT">'EVENT SERVICE'!$C$94</definedName>
    <definedName name="DannyCasselberryMEMB">'MEMBERSHIP SERVICE'!$C$94</definedName>
    <definedName name="DannyCasselberrySALES">'EVENT SALES'!$D$94</definedName>
    <definedName name="DennisCaldwellEVENT">'EVENT SERVICE'!$C$11</definedName>
    <definedName name="DennisCaldwellMEMB">'MEMBERSHIP SERVICE'!$C$11</definedName>
    <definedName name="DennisCaldwellSALES">'EVENT SALES'!$D$11</definedName>
    <definedName name="DeronDavenportEVENT">'EVENT SERVICE'!$C$20</definedName>
    <definedName name="DeronDavenportMEMB">'MEMBERSHIP SERVICE'!$C$20</definedName>
    <definedName name="DeronDavenportSALES">'EVENT SALES'!$D$20</definedName>
    <definedName name="DonColemanEVENT">'EVENT SERVICE'!$C$18</definedName>
    <definedName name="DonColemanMEMB">'MEMBERSHIP SERVICE'!$C$18</definedName>
    <definedName name="DonColemanSALES">'EVENT SALES'!$D$18</definedName>
    <definedName name="EricJacobsonEVENT">'EVENT SERVICE'!$C$38</definedName>
    <definedName name="EricJacobsonMEMB">'MEMBERSHIP SERVICE'!$C$38</definedName>
    <definedName name="EricJacobsonSALES">'EVENT SALES'!$D$38</definedName>
    <definedName name="EricSchroederEVENT">'EVENT SERVICE'!$C$77</definedName>
    <definedName name="EricSchroederMEMB">'MEMBERSHIP SERVICE'!$C$77</definedName>
    <definedName name="EricSchroederSALES">'EVENT SALES'!$D$77</definedName>
    <definedName name="EricVaughanEVENT">'EVENT SERVICE'!$C$88</definedName>
    <definedName name="EricVaughanMEMB">'MEMBERSHIP SERVICE'!$C$88</definedName>
    <definedName name="EricVaughanSALES">'EVENT SALES'!$D$88</definedName>
    <definedName name="FrankGomezEVENT">'EVENT SERVICE'!$C$96</definedName>
    <definedName name="FrankGomezMEMB">'MEMBERSHIP SERVICE'!$C$96</definedName>
    <definedName name="FrankGomezSALES">'EVENT SALES'!$D$96</definedName>
    <definedName name="GregAmadoEVENT">'EVENT SERVICE'!$C$3</definedName>
    <definedName name="GregAmadoMEMB">'MEMBERSHIP SERVICE'!$C$3</definedName>
    <definedName name="GregAmadoSALES">'EVENT SALES'!$D$3</definedName>
    <definedName name="GregStutzEVENT">'EVENT SERVICE'!$C$82</definedName>
    <definedName name="GregStutzMEMB">'MEMBERSHIP SERVICE'!$C$82</definedName>
    <definedName name="GregStutzSALES">'EVENT SALES'!$D$82</definedName>
    <definedName name="HiramCruzEVENT">'EVENT SERVICE'!$C$95</definedName>
    <definedName name="HiramCruzMEMB">'MEMBERSHIP SERVICE'!$C$95</definedName>
    <definedName name="HiramCruzSALES">'EVENT SALES'!$D$95</definedName>
    <definedName name="IsaacFigueroaEVENT">'EVENT SERVICE'!$C$27</definedName>
    <definedName name="IsaacFigueroaMEMB">'MEMBERSHIP SERVICE'!$C$27</definedName>
    <definedName name="IsaacFigueroaSALES">'EVENT SALES'!$D$27</definedName>
    <definedName name="JasonRobinsonEVENT">'EVENT SERVICE'!$C$71</definedName>
    <definedName name="JasonRobinsonMEMB">'MEMBERSHIP SERVICE'!$C$71</definedName>
    <definedName name="JasonRobinsonSALES">'EVENT SALES'!$D$71</definedName>
    <definedName name="JasonSabourinEVENT">'EVENT SERVICE'!$C$98</definedName>
    <definedName name="JasonSabourinMEMB">'MEMBERSHIP SERVICE'!$C$98</definedName>
    <definedName name="JasonSabourinSALES">'EVENT SALES'!$D$98</definedName>
    <definedName name="JayHealyEVENT">'EVENT SERVICE'!$C$35</definedName>
    <definedName name="JayHealyMEMB">'MEMBERSHIP SERVICE'!$C$35</definedName>
    <definedName name="JayHealySALES">'EVENT SALES'!$D$35</definedName>
    <definedName name="JedLightcapEVENT">'EVENT SERVICE'!$C$51</definedName>
    <definedName name="JedLightcapMEMB">'MEMBERSHIP SERVICE'!$C$51</definedName>
    <definedName name="jedLightcapSALES">'EVENT SALES'!$D$51</definedName>
    <definedName name="JeffreyKowalewskiEVENT">'EVENT SERVICE'!$C$45</definedName>
    <definedName name="JeffreyKowalewskiMEMB">'MEMBERSHIP SERVICE'!$C$45</definedName>
    <definedName name="JeffreyKowalewskiSALES">'EVENT SALES'!$D$45</definedName>
    <definedName name="JeremySabourinEVENT">'EVENT SERVICE'!$C$99</definedName>
    <definedName name="JeremySabourinMEMB">'MEMBERSHIP SERVICE'!$C$99</definedName>
    <definedName name="JeremySabourinSALES">'EVENT SALES'!$D$99</definedName>
    <definedName name="JimMegerEVENT">'EVENT SERVICE'!$C$54</definedName>
    <definedName name="JimMegerMEMB">'MEMBERSHIP SERVICE'!$C$54</definedName>
    <definedName name="JimMegerSALES">'EVENT SALES'!$D$54</definedName>
    <definedName name="JimTofelEVENT">'EVENT SERVICE'!$C$84</definedName>
    <definedName name="JimTofelMEMB">'MEMBERSHIP SERVICE'!$C$84</definedName>
    <definedName name="JimTofelSALES">'EVENT SALES'!$D$84</definedName>
    <definedName name="JoelMoskowitzEVENT">'EVENT SERVICE'!$C$58</definedName>
    <definedName name="JoelMoskowitzMEMB">'MEMBERSHIP SERVICE'!$C$58</definedName>
    <definedName name="JoelMoskowitzSALES">'EVENT SALES'!$D$58</definedName>
    <definedName name="JohnnyWardEVENT">'EVENT SERVICE'!$C$90</definedName>
    <definedName name="JohnnyWardMEMB">'MEMBERSHIP SERVICE'!$C$90</definedName>
    <definedName name="JohnnyWardSASLES">'EVENT SALES'!$D$90</definedName>
    <definedName name="JohnSarikasEVENT">'EVENT SERVICE'!$C$73</definedName>
    <definedName name="JohnSarikasMEMB">'MEMBERSHIP SERVICE'!$C$73</definedName>
    <definedName name="JohnSarikasSALES">'EVENT SALES'!$D$73</definedName>
    <definedName name="JohnSmithEVENT">'EVENT SERVICE'!$C$81</definedName>
    <definedName name="JohnSmithMEMB">'MEMBERSHIP SERVICE'!$C$81</definedName>
    <definedName name="JohnSmithSALES">'EVENT SALES'!$D$81</definedName>
    <definedName name="JordanUnderhillEVENT">'EVENT SERVICE'!$C$101</definedName>
    <definedName name="JordanUnderhillMEMB">'MEMBERSHIP SERVICE'!$C$101</definedName>
    <definedName name="JordanUnderhillSALES">'EVENT SALES'!$D$101</definedName>
    <definedName name="JoshOroscoEVENT">'EVENT SERVICE'!$C$63</definedName>
    <definedName name="JoshOroscoMEMB">'MEMBERSHIP SERVICE'!$C$63</definedName>
    <definedName name="JoshOroscoSALES">'EVENT SALES'!$D$63</definedName>
    <definedName name="JoshPuntenneyEVENT">'EVENT SERVICE'!$C$67</definedName>
    <definedName name="JoshPuntenneyMEMB">'MEMBERSHIP SERVICE'!$C$67</definedName>
    <definedName name="JoshPuntenneySALES">'EVENT SALES'!$D$67</definedName>
    <definedName name="KennySarnoskiEVENT">'EVENT SERVICE'!$C$100</definedName>
    <definedName name="KennySarnoskiMEMB">'MEMBERSHIP SERVICE'!$C$100</definedName>
    <definedName name="KennySarnoskiSALES">'EVENT SALES'!$D$100</definedName>
    <definedName name="KevinBedientEVENT">'EVENT SERVICE'!$C$6</definedName>
    <definedName name="KevinBedientMEMB">'MEMBERSHIP SERVICE'!$C$6</definedName>
    <definedName name="KevinBedientSALES">'EVENT SALES'!$D$6</definedName>
    <definedName name="LarryBailliereEVENT">'EVENT SERVICE'!$C$5</definedName>
    <definedName name="LarryBailliereMEMB">'MEMBERSHIP SERVICE'!$C$5</definedName>
    <definedName name="LarryBailliereSALES">'EVENT SALES'!$D$5</definedName>
    <definedName name="LukasTvedtEVENT">'EVENT SERVICE'!$C$86</definedName>
    <definedName name="LukasTvedtMEMB">'MEMBERSHIP SERVICE'!$C$86</definedName>
    <definedName name="LukasTvedtSALES">'EVENT SALES'!$D$86</definedName>
    <definedName name="LynnPolonskiEVENT">'EVENT SERVICE'!$C$66</definedName>
    <definedName name="LynnPolonskiMEMB">'MEMBERSHIP SERVICE'!$C$66</definedName>
    <definedName name="LynnPolonskiSALES">'EVENT SALES'!$D$66</definedName>
    <definedName name="MattHarperEVENT">'EVENT SERVICE'!$C$34</definedName>
    <definedName name="MattHarperMEMB">'MEMBERSHIP SERVICE'!$C$34</definedName>
    <definedName name="MattHarperSALES">'EVENT SALES'!$D$34</definedName>
    <definedName name="MikeCenskyEVENT">'EVENT SERVICE'!$C$13</definedName>
    <definedName name="MikeCenskyMEMB">'MEMBERSHIP SERVICE'!$C$13</definedName>
    <definedName name="MikeCenskySALES">'EVENT SALES'!$D$13</definedName>
    <definedName name="MikeSchmidtEVENT">'EVENT SERVICE'!$C$75</definedName>
    <definedName name="MikeSchmidtMEMB">'MEMBERSHIP SERVICE'!$C$75</definedName>
    <definedName name="MikeSchmidtSALES">'EVENT SALES'!$D$75</definedName>
    <definedName name="MikeVasquezEVENT">'EVENT SERVICE'!$C$87</definedName>
    <definedName name="MikeVasquezMEMB">'MEMBERSHIP SERVICE'!$C$87</definedName>
    <definedName name="MikeVasquezSALES">'EVENT SALES'!$D$87</definedName>
    <definedName name="NathanLanhamBairdEVENT">'EVENT SERVICE'!$C$49</definedName>
    <definedName name="NathanLanhamBairdMEMB">'MEMBERSHIP SERVICE'!$C$49</definedName>
    <definedName name="NathanLanhamBairdSALES">'EVENT SALES'!$D$49</definedName>
    <definedName name="NickKreutzEVENT">'EVENT SERVICE'!$C$46</definedName>
    <definedName name="NickKreutzMEMB">'MEMBERSHIP SERVICE'!$C$46</definedName>
    <definedName name="NickKreutzSALES">'EVENT SALES'!$D$46</definedName>
    <definedName name="NickMenkeEVENT">'EVENT SERVICE'!$C$55</definedName>
    <definedName name="NickMenkeMEMB">'MEMBERSHIP SERVICE'!$C$55</definedName>
    <definedName name="NickMenkeSALES">'EVENT SALES'!$D$55</definedName>
    <definedName name="NicoMayerEVENT">'EVENT SERVICE'!$C$97</definedName>
    <definedName name="NicoMayerMEMB">'MEMBERSHIP SERVICE'!$C$97</definedName>
    <definedName name="NicoMayerSALES">'EVENT SALES'!$D$97</definedName>
    <definedName name="PatCocoEVENT">'EVENT SERVICE'!$C$16</definedName>
    <definedName name="PatCocoMEMB">'MEMBERSHIP SERVICE'!$C$16</definedName>
    <definedName name="PatCocoSALES">'EVENT SALES'!$D$16</definedName>
    <definedName name="PatrickMurphyEVENT">'EVENT SERVICE'!$C$59</definedName>
    <definedName name="PatrickMurphyMEMB">'MEMBERSHIP SERVICE'!$C$59</definedName>
    <definedName name="PatrickMurphySALES">'EVENT SALES'!$D$59</definedName>
    <definedName name="ReggieGearyEVENT">'EVENT SERVICE'!$C$31</definedName>
    <definedName name="ReggieGearyMEMB">'MEMBERSHIP SERVICE'!$C$31</definedName>
    <definedName name="ReggieGearySALES">'EVENT SALES'!$D$31</definedName>
    <definedName name="RichRodriguezEVENT">'EVENT SERVICE'!$C$72</definedName>
    <definedName name="RichRodriguezMEMB">'MEMBERSHIP SERVICE'!$C$72</definedName>
    <definedName name="RichRodriguezSALES">'EVENT SALES'!$D$72</definedName>
    <definedName name="RobPurvisEVENT">'EVENT SERVICE'!$C$68</definedName>
    <definedName name="RobPurvisMEMB">'MEMBERSHIP SERVICE'!$C$68</definedName>
    <definedName name="RobPurvisSALES">'EVENT SALES'!$D$68</definedName>
    <definedName name="RudyGarciaEVENT">'EVENT SERVICE'!$C$29</definedName>
    <definedName name="RudyGarciaMEMB">'MEMBERSHIP SERVICE'!$C$29</definedName>
    <definedName name="RudyGarciaSALES">'EVENT SALES'!$D$29</definedName>
    <definedName name="RyanRepucciEVENT">'EVENT SERVICE'!$C$70</definedName>
    <definedName name="RyanRepucciMEMB">'MEMBERSHIP SERVICE'!$C$70</definedName>
    <definedName name="RyanRepucciSALES">'EVENT SALES'!$D$70</definedName>
    <definedName name="ScottBaderEVENT">'EVENT SERVICE'!$C$4</definedName>
    <definedName name="ScottBaderMEMB">'MEMBERSHIP SERVICE'!$C$4</definedName>
    <definedName name="ScottBaderSALES">'EVENT SALES'!$D$4</definedName>
    <definedName name="SeanMurrayEVENT">'EVENT SERVICE'!$C$60</definedName>
    <definedName name="SeanMurrayMEMB">'MEMBERSHIP SERVICE'!$C$60</definedName>
    <definedName name="SeanMurraySALES">'EVENT SALES'!$D$60</definedName>
    <definedName name="SpanklyNannaSALES">'EVENT SALES'!$D$61</definedName>
    <definedName name="SpankyNanaMEMB">'MEMBERSHIP SERVICE'!$C$61</definedName>
    <definedName name="SpankyNannaEVENT">'EVENT SERVICE'!$C$61</definedName>
    <definedName name="StevenEddyEVENT">'EVENT SERVICE'!$C$23</definedName>
    <definedName name="StevenEddyMEMB">'MEMBERSHIP SERVICE'!$C$23</definedName>
    <definedName name="StevenEddySALES">'EVENT SALES'!$D$23</definedName>
    <definedName name="StevenZeillerEVENT">'EVENT SERVICE'!$C$92</definedName>
    <definedName name="StevenZeilLerMEMB">'MEMBERSHIP SERVICE'!$C$92</definedName>
    <definedName name="StevenZeillerSALES">'EVENT SALES'!$D$92</definedName>
    <definedName name="SteveVorholzerEVENT">'EVENT SERVICE'!$C$89</definedName>
    <definedName name="SteveVorholzerMEMB">'MEMBERSHIP SERVICE'!$C$89</definedName>
    <definedName name="SteveVorholzerSALES">'EVENT SALES'!$D$89</definedName>
    <definedName name="StevieHopkinsEVENT">'EVENT SERVICE'!$C$37</definedName>
    <definedName name="StevieHopkinsMEMB">'MEMBERSHIP SERVICE'!$C$37</definedName>
    <definedName name="StevieHopkinsSALES">'EVENT SALES'!$D$37</definedName>
    <definedName name="TedKlineEVENT">'EVENT SERVICE'!$C$43</definedName>
    <definedName name="TedKlineMEMB">'MEMBERSHIP SERVICE'!$C$43</definedName>
    <definedName name="TedKlineSALES">'EVENT SALES'!$D$43</definedName>
    <definedName name="TimAbeytaEVENT">'EVENT SERVICE'!$C$2</definedName>
    <definedName name="TimAbeytaMEMB">'MEMBERSHIP SERVICE'!$C$2</definedName>
    <definedName name="TimAbeytaSALES">'EVENT SALES'!$D$2</definedName>
    <definedName name="ToddAdamsEVENT">'EVENT SERVICE'!$C$93</definedName>
    <definedName name="ToddAdamsMEMB">'MEMBERSHIP SERVICE'!$C$93</definedName>
    <definedName name="ToddAdamsSALES">'EVENT SALES'!$D$93</definedName>
    <definedName name="ToddSeppEVENT">'EVENT SERVICE'!$C$78</definedName>
    <definedName name="ToddSeppMEMB">'MEMBERSHIP SERVICE'!$C$78</definedName>
    <definedName name="ToddSeppSALES">'EVENT SALES'!$D$78</definedName>
    <definedName name="TomMcKinneyEVENT">'EVENT SERVICE'!$C$53</definedName>
    <definedName name="TomMcKinneyMEMB">'MEMBERSHIP SERVICE'!$C$53</definedName>
    <definedName name="TomMcKinneySALES">'EVENT SALES'!$D$53</definedName>
    <definedName name="TommyKingEVENT">'EVENT SERVICE'!$C$42</definedName>
    <definedName name="TommyKingMEMB">'MEMBERSHIP SERVICE'!$C$42</definedName>
    <definedName name="TommyKingSALES">'EVENT SALES'!$D$42</definedName>
    <definedName name="TravisTuftsEVENT">'EVENT SERVICE'!$C$85</definedName>
    <definedName name="TravisTuftsMEMB">'MEMBERSHIP SERVICE'!$C$85</definedName>
    <definedName name="TravisTuftsSALES">'EVENT SALES'!$D$85</definedName>
    <definedName name="TroyHochEVENT">'EVENT SERVICE'!$C$36</definedName>
    <definedName name="TroyHochMEMB">'MEMBERSHIP SERVICE'!$C$36</definedName>
    <definedName name="TroyHochSALES">'EVENT SALES'!$D$36</definedName>
    <definedName name="TylerWarfieldEVENT">'EVENT SERVICE'!$C$91</definedName>
    <definedName name="TylerWarfieldMEMB">'MEMBERSHIP SERVICE'!$C$91</definedName>
    <definedName name="TylerWarfieldSALES">'EVENT SALES'!$D$91</definedName>
    <definedName name="VianneySaroniEVENT">'EVENT SERVICE'!$C$74</definedName>
    <definedName name="VianneySaroniMEMB">'MEMBERSHIP SERVICE'!$C$74</definedName>
    <definedName name="VianneySaroniSALES">'EVENT SALES'!$D$74</definedName>
    <definedName name="VictorThompsonEVENT">'EVENT SERVICE'!$C$83</definedName>
    <definedName name="VictorThompsonMEMB">'MEMBERSHIP SERVICE'!$C$83</definedName>
    <definedName name="VictorThompsonSALES">'EVENT SALES'!$D$83</definedName>
    <definedName name="VijayPatelEVENT">'EVENT SERVICE'!$C$64</definedName>
    <definedName name="VijayPatelMEMB">'MEMBERSHIP SERVICE'!$C$64</definedName>
    <definedName name="VijayPatelSALES">'EVENT SALES'!$D$64</definedName>
    <definedName name="VinceGonzalesEVENT">'EVENT SERVICE'!$C$32</definedName>
    <definedName name="VinceGonzalesSALES">'EVENT SALES'!$D$32</definedName>
    <definedName name="VinceGonzlesMEMB">'MEMBERSHIP SERVICE'!$C$32</definedName>
    <definedName name="ZachLambrightEVENT">'EVENT SERVICE'!$C$48</definedName>
    <definedName name="ZachLambrightMEMB">'MEMBERSHIP SERVICE'!$C$48</definedName>
    <definedName name="ZachLambrightSALES">'EVENT SALES'!$D$48</definedName>
    <definedName name="ZackLevinEVENT">'EVENT SERVICE'!$C$50</definedName>
    <definedName name="ZackLevinMEMB">'MEMBERSHIP SERVICE'!$C$50</definedName>
    <definedName name="ZackLevinSALES">'EVENT SALES'!$D$50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G3" i="1" l="1"/>
  <c r="D28" i="2"/>
  <c r="D49" i="2"/>
  <c r="C35" i="3"/>
  <c r="C14" i="3"/>
  <c r="C60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3" i="3"/>
  <c r="C12" i="3"/>
  <c r="C11" i="3"/>
  <c r="C10" i="3"/>
  <c r="C9" i="3"/>
  <c r="C8" i="3"/>
  <c r="C7" i="3"/>
  <c r="C6" i="3"/>
  <c r="C5" i="3"/>
  <c r="C4" i="3"/>
  <c r="C3" i="3"/>
  <c r="C2" i="3"/>
  <c r="F16" i="1"/>
  <c r="C12" i="4"/>
  <c r="C3" i="4" l="1"/>
  <c r="C92" i="4"/>
  <c r="I93" i="1" s="1"/>
  <c r="C91" i="4"/>
  <c r="I92" i="1" s="1"/>
  <c r="C90" i="4"/>
  <c r="I91" i="1" s="1"/>
  <c r="C89" i="4"/>
  <c r="I90" i="1" s="1"/>
  <c r="C88" i="4"/>
  <c r="I89" i="1" s="1"/>
  <c r="C87" i="4"/>
  <c r="I88" i="1" s="1"/>
  <c r="C101" i="4"/>
  <c r="I102" i="1" s="1"/>
  <c r="C86" i="4"/>
  <c r="I87" i="1" s="1"/>
  <c r="C85" i="4"/>
  <c r="I86" i="1" s="1"/>
  <c r="C84" i="4"/>
  <c r="I85" i="1" s="1"/>
  <c r="C83" i="4"/>
  <c r="I84" i="1" s="1"/>
  <c r="C82" i="4"/>
  <c r="I83" i="1" s="1"/>
  <c r="C81" i="4"/>
  <c r="C80" i="4"/>
  <c r="I81" i="1" s="1"/>
  <c r="C79" i="4"/>
  <c r="I80" i="1" s="1"/>
  <c r="C78" i="4"/>
  <c r="I79" i="1" s="1"/>
  <c r="C77" i="4"/>
  <c r="I78" i="1" s="1"/>
  <c r="C76" i="4"/>
  <c r="I77" i="1" s="1"/>
  <c r="C75" i="4"/>
  <c r="I76" i="1" s="1"/>
  <c r="C74" i="4"/>
  <c r="I75" i="1" s="1"/>
  <c r="C100" i="4"/>
  <c r="I101" i="1" s="1"/>
  <c r="C73" i="4"/>
  <c r="C99" i="4"/>
  <c r="I100" i="1" s="1"/>
  <c r="C98" i="4"/>
  <c r="I99" i="1" s="1"/>
  <c r="C72" i="4"/>
  <c r="I73" i="1" s="1"/>
  <c r="C71" i="4"/>
  <c r="I72" i="1" s="1"/>
  <c r="C70" i="4"/>
  <c r="I71" i="1" s="1"/>
  <c r="C69" i="4"/>
  <c r="I70" i="1" s="1"/>
  <c r="C68" i="4"/>
  <c r="I69" i="1" s="1"/>
  <c r="C67" i="4"/>
  <c r="I68" i="1" s="1"/>
  <c r="C66" i="4"/>
  <c r="I67" i="1" s="1"/>
  <c r="C65" i="4"/>
  <c r="I66" i="1" s="1"/>
  <c r="C64" i="4"/>
  <c r="I65" i="1" s="1"/>
  <c r="C63" i="4"/>
  <c r="I64" i="1" s="1"/>
  <c r="C62" i="4"/>
  <c r="I63" i="1" s="1"/>
  <c r="C61" i="4"/>
  <c r="I62" i="1" s="1"/>
  <c r="C60" i="4"/>
  <c r="I61" i="1" s="1"/>
  <c r="C59" i="4"/>
  <c r="I60" i="1" s="1"/>
  <c r="C58" i="4"/>
  <c r="I59" i="1" s="1"/>
  <c r="C57" i="4"/>
  <c r="I58" i="1" s="1"/>
  <c r="C56" i="4"/>
  <c r="I57" i="1" s="1"/>
  <c r="C55" i="4"/>
  <c r="I56" i="1" s="1"/>
  <c r="C54" i="4"/>
  <c r="I55" i="1" s="1"/>
  <c r="C53" i="4"/>
  <c r="I54" i="1" s="1"/>
  <c r="C52" i="4"/>
  <c r="I53" i="1" s="1"/>
  <c r="C97" i="4"/>
  <c r="I98" i="1" s="1"/>
  <c r="C51" i="4"/>
  <c r="I52" i="1" s="1"/>
  <c r="C50" i="4"/>
  <c r="I51" i="1" s="1"/>
  <c r="C49" i="4"/>
  <c r="I50" i="1" s="1"/>
  <c r="C48" i="4"/>
  <c r="I49" i="1" s="1"/>
  <c r="C47" i="4"/>
  <c r="I48" i="1" s="1"/>
  <c r="C46" i="4"/>
  <c r="I47" i="1" s="1"/>
  <c r="C45" i="4"/>
  <c r="I46" i="1" s="1"/>
  <c r="C44" i="4"/>
  <c r="I45" i="1" s="1"/>
  <c r="C43" i="4"/>
  <c r="I44" i="1" s="1"/>
  <c r="C42" i="4"/>
  <c r="I43" i="1" s="1"/>
  <c r="C41" i="4"/>
  <c r="I42" i="1" s="1"/>
  <c r="C40" i="4"/>
  <c r="I41" i="1" s="1"/>
  <c r="C39" i="4"/>
  <c r="I40" i="1" s="1"/>
  <c r="C38" i="4"/>
  <c r="I39" i="1" s="1"/>
  <c r="C37" i="4"/>
  <c r="I38" i="1" s="1"/>
  <c r="C36" i="4"/>
  <c r="I37" i="1" s="1"/>
  <c r="C35" i="4"/>
  <c r="I36" i="1" s="1"/>
  <c r="C34" i="4"/>
  <c r="I35" i="1" s="1"/>
  <c r="C33" i="4"/>
  <c r="I34" i="1" s="1"/>
  <c r="C32" i="4"/>
  <c r="I33" i="1" s="1"/>
  <c r="C96" i="4"/>
  <c r="I97" i="1" s="1"/>
  <c r="C31" i="4"/>
  <c r="I32" i="1" s="1"/>
  <c r="C30" i="4"/>
  <c r="I31" i="1" s="1"/>
  <c r="C29" i="4"/>
  <c r="I30" i="1" s="1"/>
  <c r="C28" i="4"/>
  <c r="I29" i="1" s="1"/>
  <c r="C27" i="4"/>
  <c r="I28" i="1" s="1"/>
  <c r="C26" i="4"/>
  <c r="I27" i="1" s="1"/>
  <c r="C25" i="4"/>
  <c r="I26" i="1" s="1"/>
  <c r="C24" i="4"/>
  <c r="I25" i="1" s="1"/>
  <c r="C23" i="4"/>
  <c r="I24" i="1" s="1"/>
  <c r="C22" i="4"/>
  <c r="I23" i="1" s="1"/>
  <c r="C21" i="4"/>
  <c r="I22" i="1" s="1"/>
  <c r="C20" i="4"/>
  <c r="I21" i="1" s="1"/>
  <c r="C95" i="4"/>
  <c r="I96" i="1" s="1"/>
  <c r="C19" i="4"/>
  <c r="I20" i="1" s="1"/>
  <c r="C18" i="4"/>
  <c r="I19" i="1" s="1"/>
  <c r="C17" i="4"/>
  <c r="I18" i="1" s="1"/>
  <c r="C16" i="4"/>
  <c r="I17" i="1" s="1"/>
  <c r="C15" i="4"/>
  <c r="I16" i="1" s="1"/>
  <c r="C14" i="4"/>
  <c r="I15" i="1" s="1"/>
  <c r="C13" i="4"/>
  <c r="I14" i="1" s="1"/>
  <c r="C94" i="4"/>
  <c r="I95" i="1" s="1"/>
  <c r="I13" i="1"/>
  <c r="C11" i="4"/>
  <c r="I12" i="1" s="1"/>
  <c r="C10" i="4"/>
  <c r="I11" i="1" s="1"/>
  <c r="C9" i="4"/>
  <c r="I10" i="1" s="1"/>
  <c r="C8" i="4"/>
  <c r="I9" i="1" s="1"/>
  <c r="C7" i="4"/>
  <c r="I8" i="1" s="1"/>
  <c r="C6" i="4"/>
  <c r="I7" i="1" s="1"/>
  <c r="C5" i="4"/>
  <c r="I6" i="1" s="1"/>
  <c r="C4" i="4"/>
  <c r="I5" i="1" s="1"/>
  <c r="C93" i="4"/>
  <c r="I94" i="1" s="1"/>
  <c r="C2" i="4"/>
  <c r="I3" i="1" s="1"/>
  <c r="I4" i="1"/>
  <c r="M59" i="1"/>
  <c r="M3" i="1"/>
  <c r="C93" i="3"/>
  <c r="C94" i="3"/>
  <c r="C95" i="3"/>
  <c r="C96" i="3"/>
  <c r="C97" i="3"/>
  <c r="C98" i="3"/>
  <c r="C99" i="3"/>
  <c r="C100" i="3"/>
  <c r="C101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2" i="2"/>
  <c r="D17" i="2"/>
  <c r="I82" i="1" l="1"/>
  <c r="I74" i="1"/>
  <c r="J45" i="1" l="1"/>
  <c r="J102" i="1"/>
  <c r="J29" i="1"/>
  <c r="J27" i="1"/>
  <c r="G27" i="1" s="1"/>
  <c r="H27" i="1" s="1"/>
  <c r="J23" i="1"/>
  <c r="J4" i="1"/>
  <c r="J5" i="1"/>
  <c r="J6" i="1"/>
  <c r="J7" i="1"/>
  <c r="J8" i="1"/>
  <c r="J9" i="1"/>
  <c r="G9" i="1" s="1"/>
  <c r="H9" i="1" s="1"/>
  <c r="J10" i="1"/>
  <c r="G10" i="1" s="1"/>
  <c r="H10" i="1" s="1"/>
  <c r="J11" i="1"/>
  <c r="J12" i="1"/>
  <c r="J13" i="1"/>
  <c r="J14" i="1"/>
  <c r="J15" i="1"/>
  <c r="J16" i="1"/>
  <c r="J17" i="1"/>
  <c r="G17" i="1" s="1"/>
  <c r="H17" i="1" s="1"/>
  <c r="J18" i="1"/>
  <c r="G18" i="1" s="1"/>
  <c r="H18" i="1" s="1"/>
  <c r="J19" i="1"/>
  <c r="J20" i="1"/>
  <c r="J21" i="1"/>
  <c r="J22" i="1"/>
  <c r="J24" i="1"/>
  <c r="J25" i="1"/>
  <c r="J26" i="1"/>
  <c r="G26" i="1" s="1"/>
  <c r="H26" i="1" s="1"/>
  <c r="J28" i="1"/>
  <c r="J30" i="1"/>
  <c r="J31" i="1"/>
  <c r="J32" i="1"/>
  <c r="J33" i="1"/>
  <c r="J34" i="1"/>
  <c r="J35" i="1"/>
  <c r="J36" i="1"/>
  <c r="G36" i="1" s="1"/>
  <c r="H36" i="1" s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3" i="1"/>
  <c r="H3" i="1" s="1"/>
  <c r="F3" i="1"/>
  <c r="D35" i="2"/>
  <c r="M36" i="1" s="1"/>
  <c r="L36" i="1" s="1"/>
  <c r="K36" i="1" s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3" i="2"/>
  <c r="C4" i="2"/>
  <c r="C5" i="2"/>
  <c r="C6" i="2"/>
  <c r="C7" i="2"/>
  <c r="C2" i="2"/>
  <c r="D3" i="2"/>
  <c r="M4" i="1" s="1"/>
  <c r="L4" i="1" s="1"/>
  <c r="K4" i="1" s="1"/>
  <c r="D4" i="2"/>
  <c r="M5" i="1" s="1"/>
  <c r="L5" i="1" s="1"/>
  <c r="K5" i="1" s="1"/>
  <c r="D5" i="2"/>
  <c r="M6" i="1" s="1"/>
  <c r="L6" i="1" s="1"/>
  <c r="K6" i="1" s="1"/>
  <c r="D6" i="2"/>
  <c r="M7" i="1" s="1"/>
  <c r="L7" i="1" s="1"/>
  <c r="K7" i="1" s="1"/>
  <c r="D7" i="2"/>
  <c r="M8" i="1" s="1"/>
  <c r="L8" i="1" s="1"/>
  <c r="K8" i="1" s="1"/>
  <c r="D8" i="2"/>
  <c r="M9" i="1" s="1"/>
  <c r="L9" i="1" s="1"/>
  <c r="K9" i="1" s="1"/>
  <c r="D9" i="2"/>
  <c r="M10" i="1" s="1"/>
  <c r="L10" i="1" s="1"/>
  <c r="K10" i="1" s="1"/>
  <c r="D10" i="2"/>
  <c r="M11" i="1" s="1"/>
  <c r="L11" i="1" s="1"/>
  <c r="K11" i="1" s="1"/>
  <c r="D11" i="2"/>
  <c r="M12" i="1" s="1"/>
  <c r="L12" i="1" s="1"/>
  <c r="K12" i="1" s="1"/>
  <c r="D12" i="2"/>
  <c r="M13" i="1" s="1"/>
  <c r="L13" i="1" s="1"/>
  <c r="K13" i="1" s="1"/>
  <c r="D13" i="2"/>
  <c r="D14" i="2"/>
  <c r="D15" i="2"/>
  <c r="M16" i="1" s="1"/>
  <c r="L16" i="1" s="1"/>
  <c r="K16" i="1" s="1"/>
  <c r="D16" i="2"/>
  <c r="M17" i="1" s="1"/>
  <c r="L17" i="1" s="1"/>
  <c r="K17" i="1" s="1"/>
  <c r="M18" i="1"/>
  <c r="L18" i="1" s="1"/>
  <c r="K18" i="1" s="1"/>
  <c r="D18" i="2"/>
  <c r="M19" i="1" s="1"/>
  <c r="L19" i="1" s="1"/>
  <c r="K19" i="1" s="1"/>
  <c r="D20" i="2"/>
  <c r="M21" i="1" s="1"/>
  <c r="L21" i="1" s="1"/>
  <c r="K21" i="1" s="1"/>
  <c r="D21" i="2"/>
  <c r="M22" i="1" s="1"/>
  <c r="L22" i="1" s="1"/>
  <c r="K22" i="1" s="1"/>
  <c r="D22" i="2"/>
  <c r="M23" i="1" s="1"/>
  <c r="L23" i="1" s="1"/>
  <c r="K23" i="1" s="1"/>
  <c r="D23" i="2"/>
  <c r="M24" i="1" s="1"/>
  <c r="L24" i="1" s="1"/>
  <c r="K24" i="1" s="1"/>
  <c r="D24" i="2"/>
  <c r="M25" i="1" s="1"/>
  <c r="L25" i="1" s="1"/>
  <c r="K25" i="1" s="1"/>
  <c r="D25" i="2"/>
  <c r="M26" i="1" s="1"/>
  <c r="L26" i="1" s="1"/>
  <c r="K26" i="1" s="1"/>
  <c r="D26" i="2"/>
  <c r="M27" i="1" s="1"/>
  <c r="L27" i="1" s="1"/>
  <c r="K27" i="1" s="1"/>
  <c r="D27" i="2"/>
  <c r="M28" i="1" s="1"/>
  <c r="L28" i="1" s="1"/>
  <c r="K28" i="1" s="1"/>
  <c r="M29" i="1"/>
  <c r="L29" i="1" s="1"/>
  <c r="K29" i="1" s="1"/>
  <c r="D29" i="2"/>
  <c r="M30" i="1" s="1"/>
  <c r="L30" i="1" s="1"/>
  <c r="K30" i="1" s="1"/>
  <c r="D30" i="2"/>
  <c r="M31" i="1" s="1"/>
  <c r="L31" i="1" s="1"/>
  <c r="K31" i="1" s="1"/>
  <c r="D31" i="2"/>
  <c r="M32" i="1" s="1"/>
  <c r="L32" i="1" s="1"/>
  <c r="K32" i="1" s="1"/>
  <c r="D32" i="2"/>
  <c r="M33" i="1" s="1"/>
  <c r="L33" i="1" s="1"/>
  <c r="K33" i="1" s="1"/>
  <c r="D33" i="2"/>
  <c r="M34" i="1" s="1"/>
  <c r="L34" i="1" s="1"/>
  <c r="K34" i="1" s="1"/>
  <c r="D34" i="2"/>
  <c r="M35" i="1" s="1"/>
  <c r="L35" i="1" s="1"/>
  <c r="K35" i="1" s="1"/>
  <c r="D36" i="2"/>
  <c r="M37" i="1" s="1"/>
  <c r="L37" i="1" s="1"/>
  <c r="K37" i="1" s="1"/>
  <c r="D37" i="2"/>
  <c r="M38" i="1" s="1"/>
  <c r="L38" i="1" s="1"/>
  <c r="K38" i="1" s="1"/>
  <c r="D38" i="2"/>
  <c r="M39" i="1" s="1"/>
  <c r="L39" i="1" s="1"/>
  <c r="K39" i="1" s="1"/>
  <c r="D39" i="2"/>
  <c r="M40" i="1" s="1"/>
  <c r="L40" i="1" s="1"/>
  <c r="K40" i="1" s="1"/>
  <c r="D40" i="2"/>
  <c r="M41" i="1" s="1"/>
  <c r="L41" i="1" s="1"/>
  <c r="K41" i="1" s="1"/>
  <c r="D41" i="2"/>
  <c r="D42" i="2"/>
  <c r="M43" i="1" s="1"/>
  <c r="L43" i="1" s="1"/>
  <c r="K43" i="1" s="1"/>
  <c r="D43" i="2"/>
  <c r="M44" i="1" s="1"/>
  <c r="L44" i="1" s="1"/>
  <c r="K44" i="1" s="1"/>
  <c r="D44" i="2"/>
  <c r="M45" i="1" s="1"/>
  <c r="L45" i="1" s="1"/>
  <c r="K45" i="1" s="1"/>
  <c r="D45" i="2"/>
  <c r="M46" i="1" s="1"/>
  <c r="L46" i="1" s="1"/>
  <c r="K46" i="1" s="1"/>
  <c r="D46" i="2"/>
  <c r="M47" i="1" s="1"/>
  <c r="L47" i="1" s="1"/>
  <c r="K47" i="1" s="1"/>
  <c r="D47" i="2"/>
  <c r="M48" i="1" s="1"/>
  <c r="L48" i="1" s="1"/>
  <c r="K48" i="1" s="1"/>
  <c r="D48" i="2"/>
  <c r="M49" i="1" s="1"/>
  <c r="L49" i="1" s="1"/>
  <c r="K49" i="1" s="1"/>
  <c r="M50" i="1"/>
  <c r="L50" i="1" s="1"/>
  <c r="K50" i="1" s="1"/>
  <c r="D50" i="2"/>
  <c r="M51" i="1" s="1"/>
  <c r="L51" i="1" s="1"/>
  <c r="K51" i="1" s="1"/>
  <c r="D51" i="2"/>
  <c r="M52" i="1" s="1"/>
  <c r="L52" i="1" s="1"/>
  <c r="K52" i="1" s="1"/>
  <c r="D52" i="2"/>
  <c r="M53" i="1" s="1"/>
  <c r="L53" i="1" s="1"/>
  <c r="K53" i="1" s="1"/>
  <c r="D53" i="2"/>
  <c r="M54" i="1" s="1"/>
  <c r="L54" i="1" s="1"/>
  <c r="K54" i="1" s="1"/>
  <c r="D54" i="2"/>
  <c r="M55" i="1" s="1"/>
  <c r="L55" i="1" s="1"/>
  <c r="K55" i="1" s="1"/>
  <c r="D55" i="2"/>
  <c r="D56" i="2"/>
  <c r="M57" i="1" s="1"/>
  <c r="L57" i="1" s="1"/>
  <c r="K57" i="1" s="1"/>
  <c r="D57" i="2"/>
  <c r="M58" i="1" s="1"/>
  <c r="L58" i="1" s="1"/>
  <c r="K58" i="1" s="1"/>
  <c r="D58" i="2"/>
  <c r="L59" i="1" s="1"/>
  <c r="K59" i="1" s="1"/>
  <c r="D59" i="2"/>
  <c r="M60" i="1" s="1"/>
  <c r="L60" i="1" s="1"/>
  <c r="K60" i="1" s="1"/>
  <c r="D60" i="2"/>
  <c r="M61" i="1" s="1"/>
  <c r="L61" i="1" s="1"/>
  <c r="K61" i="1" s="1"/>
  <c r="D61" i="2"/>
  <c r="M62" i="1" s="1"/>
  <c r="L62" i="1" s="1"/>
  <c r="K62" i="1" s="1"/>
  <c r="D62" i="2"/>
  <c r="M63" i="1" s="1"/>
  <c r="L63" i="1" s="1"/>
  <c r="K63" i="1" s="1"/>
  <c r="D63" i="2"/>
  <c r="M64" i="1" s="1"/>
  <c r="L64" i="1" s="1"/>
  <c r="K64" i="1" s="1"/>
  <c r="D64" i="2"/>
  <c r="M65" i="1" s="1"/>
  <c r="L65" i="1" s="1"/>
  <c r="K65" i="1" s="1"/>
  <c r="D65" i="2"/>
  <c r="M66" i="1" s="1"/>
  <c r="L66" i="1" s="1"/>
  <c r="K66" i="1" s="1"/>
  <c r="D66" i="2"/>
  <c r="M67" i="1" s="1"/>
  <c r="L67" i="1" s="1"/>
  <c r="K67" i="1" s="1"/>
  <c r="D67" i="2"/>
  <c r="M68" i="1" s="1"/>
  <c r="L68" i="1" s="1"/>
  <c r="K68" i="1" s="1"/>
  <c r="D68" i="2"/>
  <c r="M69" i="1" s="1"/>
  <c r="L69" i="1" s="1"/>
  <c r="K69" i="1" s="1"/>
  <c r="D69" i="2"/>
  <c r="M70" i="1" s="1"/>
  <c r="L70" i="1" s="1"/>
  <c r="K70" i="1" s="1"/>
  <c r="D70" i="2"/>
  <c r="M71" i="1" s="1"/>
  <c r="L71" i="1" s="1"/>
  <c r="K71" i="1" s="1"/>
  <c r="D71" i="2"/>
  <c r="M72" i="1" s="1"/>
  <c r="L72" i="1" s="1"/>
  <c r="K72" i="1" s="1"/>
  <c r="D72" i="2"/>
  <c r="M73" i="1" s="1"/>
  <c r="L73" i="1" s="1"/>
  <c r="K73" i="1" s="1"/>
  <c r="D73" i="2"/>
  <c r="M74" i="1" s="1"/>
  <c r="L74" i="1" s="1"/>
  <c r="K74" i="1" s="1"/>
  <c r="D74" i="2"/>
  <c r="M75" i="1" s="1"/>
  <c r="L75" i="1" s="1"/>
  <c r="K75" i="1" s="1"/>
  <c r="D75" i="2"/>
  <c r="M76" i="1" s="1"/>
  <c r="L76" i="1" s="1"/>
  <c r="K76" i="1" s="1"/>
  <c r="D76" i="2"/>
  <c r="D77" i="2"/>
  <c r="D78" i="2"/>
  <c r="M79" i="1" s="1"/>
  <c r="L79" i="1" s="1"/>
  <c r="K79" i="1" s="1"/>
  <c r="D79" i="2"/>
  <c r="M80" i="1" s="1"/>
  <c r="L80" i="1" s="1"/>
  <c r="K80" i="1" s="1"/>
  <c r="D80" i="2"/>
  <c r="M81" i="1" s="1"/>
  <c r="L81" i="1" s="1"/>
  <c r="K81" i="1" s="1"/>
  <c r="D81" i="2"/>
  <c r="M82" i="1" s="1"/>
  <c r="L82" i="1" s="1"/>
  <c r="K82" i="1" s="1"/>
  <c r="D82" i="2"/>
  <c r="M83" i="1" s="1"/>
  <c r="L83" i="1" s="1"/>
  <c r="K83" i="1" s="1"/>
  <c r="D83" i="2"/>
  <c r="M84" i="1" s="1"/>
  <c r="L84" i="1" s="1"/>
  <c r="K84" i="1" s="1"/>
  <c r="D84" i="2"/>
  <c r="M85" i="1" s="1"/>
  <c r="L85" i="1" s="1"/>
  <c r="K85" i="1" s="1"/>
  <c r="D85" i="2"/>
  <c r="M86" i="1" s="1"/>
  <c r="L86" i="1" s="1"/>
  <c r="K86" i="1" s="1"/>
  <c r="D86" i="2"/>
  <c r="M87" i="1" s="1"/>
  <c r="L87" i="1" s="1"/>
  <c r="K87" i="1" s="1"/>
  <c r="D87" i="2"/>
  <c r="M88" i="1" s="1"/>
  <c r="L88" i="1" s="1"/>
  <c r="K88" i="1" s="1"/>
  <c r="D88" i="2"/>
  <c r="M89" i="1" s="1"/>
  <c r="L89" i="1" s="1"/>
  <c r="K89" i="1" s="1"/>
  <c r="D89" i="2"/>
  <c r="M90" i="1" s="1"/>
  <c r="L90" i="1" s="1"/>
  <c r="K90" i="1" s="1"/>
  <c r="D90" i="2"/>
  <c r="M91" i="1" s="1"/>
  <c r="L91" i="1" s="1"/>
  <c r="K91" i="1" s="1"/>
  <c r="D91" i="2"/>
  <c r="D92" i="2"/>
  <c r="M93" i="1" s="1"/>
  <c r="L93" i="1" s="1"/>
  <c r="K93" i="1" s="1"/>
  <c r="D93" i="2"/>
  <c r="M94" i="1" s="1"/>
  <c r="L94" i="1" s="1"/>
  <c r="K94" i="1" s="1"/>
  <c r="D94" i="2"/>
  <c r="M95" i="1" s="1"/>
  <c r="L95" i="1" s="1"/>
  <c r="K95" i="1" s="1"/>
  <c r="D95" i="2"/>
  <c r="M96" i="1" s="1"/>
  <c r="L96" i="1" s="1"/>
  <c r="K96" i="1" s="1"/>
  <c r="D96" i="2"/>
  <c r="M97" i="1" s="1"/>
  <c r="L97" i="1" s="1"/>
  <c r="K97" i="1" s="1"/>
  <c r="D97" i="2"/>
  <c r="M98" i="1" s="1"/>
  <c r="L98" i="1" s="1"/>
  <c r="K98" i="1" s="1"/>
  <c r="D98" i="2"/>
  <c r="M99" i="1" s="1"/>
  <c r="L99" i="1" s="1"/>
  <c r="K99" i="1" s="1"/>
  <c r="D99" i="2"/>
  <c r="M100" i="1" s="1"/>
  <c r="L100" i="1" s="1"/>
  <c r="K100" i="1" s="1"/>
  <c r="D100" i="2"/>
  <c r="M101" i="1" s="1"/>
  <c r="L101" i="1" s="1"/>
  <c r="K101" i="1" s="1"/>
  <c r="D101" i="2"/>
  <c r="M102" i="1" s="1"/>
  <c r="L102" i="1" s="1"/>
  <c r="K102" i="1" s="1"/>
  <c r="F4" i="1"/>
  <c r="F5" i="1"/>
  <c r="F6" i="1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D2" i="2"/>
  <c r="L3" i="1" s="1"/>
  <c r="K3" i="1" s="1"/>
  <c r="M78" i="1" l="1"/>
  <c r="L78" i="1" s="1"/>
  <c r="K78" i="1" s="1"/>
  <c r="G78" i="1" s="1"/>
  <c r="H78" i="1" s="1"/>
  <c r="M20" i="1"/>
  <c r="L20" i="1" s="1"/>
  <c r="K20" i="1" s="1"/>
  <c r="G20" i="1" s="1"/>
  <c r="M15" i="1"/>
  <c r="L15" i="1" s="1"/>
  <c r="K15" i="1" s="1"/>
  <c r="G15" i="1" s="1"/>
  <c r="M77" i="1"/>
  <c r="L77" i="1" s="1"/>
  <c r="K77" i="1" s="1"/>
  <c r="M56" i="1"/>
  <c r="L56" i="1" s="1"/>
  <c r="K56" i="1" s="1"/>
  <c r="M92" i="1"/>
  <c r="L92" i="1" s="1"/>
  <c r="K92" i="1" s="1"/>
  <c r="G92" i="1" s="1"/>
  <c r="M42" i="1"/>
  <c r="L42" i="1" s="1"/>
  <c r="K42" i="1" s="1"/>
  <c r="G42" i="1" s="1"/>
  <c r="H42" i="1" s="1"/>
  <c r="M14" i="1"/>
  <c r="L14" i="1" s="1"/>
  <c r="K14" i="1" s="1"/>
  <c r="G14" i="1" s="1"/>
  <c r="H14" i="1" s="1"/>
  <c r="G94" i="1"/>
  <c r="H94" i="1" s="1"/>
  <c r="G54" i="1"/>
  <c r="H54" i="1" s="1"/>
  <c r="G85" i="1"/>
  <c r="H85" i="1" s="1"/>
  <c r="G44" i="1"/>
  <c r="G29" i="1"/>
  <c r="H29" i="1" s="1"/>
  <c r="G96" i="1"/>
  <c r="H96" i="1" s="1"/>
  <c r="G88" i="1"/>
  <c r="G80" i="1"/>
  <c r="G72" i="1"/>
  <c r="H72" i="1" s="1"/>
  <c r="G64" i="1"/>
  <c r="H64" i="1" s="1"/>
  <c r="G56" i="1"/>
  <c r="H56" i="1" s="1"/>
  <c r="G48" i="1"/>
  <c r="H48" i="1" s="1"/>
  <c r="G39" i="1"/>
  <c r="H39" i="1" s="1"/>
  <c r="G31" i="1"/>
  <c r="H31" i="1" s="1"/>
  <c r="G12" i="1"/>
  <c r="G4" i="1"/>
  <c r="H4" i="1" s="1"/>
  <c r="G95" i="1"/>
  <c r="H95" i="1" s="1"/>
  <c r="G87" i="1"/>
  <c r="H87" i="1" s="1"/>
  <c r="G79" i="1"/>
  <c r="H79" i="1" s="1"/>
  <c r="G71" i="1"/>
  <c r="H71" i="1" s="1"/>
  <c r="G63" i="1"/>
  <c r="H63" i="1" s="1"/>
  <c r="G55" i="1"/>
  <c r="H55" i="1" s="1"/>
  <c r="G47" i="1"/>
  <c r="D47" i="1" s="1"/>
  <c r="G38" i="1"/>
  <c r="H38" i="1" s="1"/>
  <c r="G30" i="1"/>
  <c r="H30" i="1" s="1"/>
  <c r="G19" i="1"/>
  <c r="H19" i="1" s="1"/>
  <c r="G11" i="1"/>
  <c r="G23" i="1"/>
  <c r="H23" i="1" s="1"/>
  <c r="G69" i="1"/>
  <c r="H69" i="1" s="1"/>
  <c r="G100" i="1"/>
  <c r="G84" i="1"/>
  <c r="H84" i="1" s="1"/>
  <c r="G76" i="1"/>
  <c r="H76" i="1" s="1"/>
  <c r="G68" i="1"/>
  <c r="H68" i="1" s="1"/>
  <c r="G60" i="1"/>
  <c r="H60" i="1" s="1"/>
  <c r="G52" i="1"/>
  <c r="H52" i="1" s="1"/>
  <c r="G43" i="1"/>
  <c r="H43" i="1" s="1"/>
  <c r="G35" i="1"/>
  <c r="G25" i="1"/>
  <c r="G16" i="1"/>
  <c r="H16" i="1" s="1"/>
  <c r="G8" i="1"/>
  <c r="H8" i="1" s="1"/>
  <c r="G102" i="1"/>
  <c r="H102" i="1" s="1"/>
  <c r="G86" i="1"/>
  <c r="G46" i="1"/>
  <c r="H46" i="1" s="1"/>
  <c r="G77" i="1"/>
  <c r="H77" i="1" s="1"/>
  <c r="G99" i="1"/>
  <c r="G91" i="1"/>
  <c r="H91" i="1" s="1"/>
  <c r="G83" i="1"/>
  <c r="H83" i="1" s="1"/>
  <c r="G75" i="1"/>
  <c r="H75" i="1" s="1"/>
  <c r="G67" i="1"/>
  <c r="H67" i="1" s="1"/>
  <c r="G59" i="1"/>
  <c r="D59" i="1" s="1"/>
  <c r="G51" i="1"/>
  <c r="H51" i="1" s="1"/>
  <c r="G34" i="1"/>
  <c r="G24" i="1"/>
  <c r="G7" i="1"/>
  <c r="H7" i="1" s="1"/>
  <c r="G45" i="1"/>
  <c r="H45" i="1" s="1"/>
  <c r="G70" i="1"/>
  <c r="H70" i="1" s="1"/>
  <c r="G37" i="1"/>
  <c r="H37" i="1" s="1"/>
  <c r="G101" i="1"/>
  <c r="H101" i="1" s="1"/>
  <c r="G61" i="1"/>
  <c r="G98" i="1"/>
  <c r="G90" i="1"/>
  <c r="H90" i="1" s="1"/>
  <c r="G82" i="1"/>
  <c r="H82" i="1" s="1"/>
  <c r="G74" i="1"/>
  <c r="H74" i="1" s="1"/>
  <c r="G66" i="1"/>
  <c r="H66" i="1" s="1"/>
  <c r="G58" i="1"/>
  <c r="H58" i="1" s="1"/>
  <c r="G50" i="1"/>
  <c r="H50" i="1" s="1"/>
  <c r="G41" i="1"/>
  <c r="G33" i="1"/>
  <c r="G22" i="1"/>
  <c r="H22" i="1" s="1"/>
  <c r="G6" i="1"/>
  <c r="H6" i="1" s="1"/>
  <c r="G62" i="1"/>
  <c r="H62" i="1" s="1"/>
  <c r="G28" i="1"/>
  <c r="H28" i="1" s="1"/>
  <c r="G93" i="1"/>
  <c r="G53" i="1"/>
  <c r="G97" i="1"/>
  <c r="H97" i="1" s="1"/>
  <c r="G89" i="1"/>
  <c r="H89" i="1" s="1"/>
  <c r="G81" i="1"/>
  <c r="H81" i="1" s="1"/>
  <c r="G73" i="1"/>
  <c r="G65" i="1"/>
  <c r="H65" i="1" s="1"/>
  <c r="G57" i="1"/>
  <c r="H57" i="1" s="1"/>
  <c r="G49" i="1"/>
  <c r="H49" i="1" s="1"/>
  <c r="G40" i="1"/>
  <c r="G32" i="1"/>
  <c r="H32" i="1" s="1"/>
  <c r="G21" i="1"/>
  <c r="H21" i="1" s="1"/>
  <c r="G13" i="1"/>
  <c r="H13" i="1" s="1"/>
  <c r="G5" i="1"/>
  <c r="H5" i="1" s="1"/>
  <c r="E72" i="1"/>
  <c r="D72" i="1"/>
  <c r="D27" i="1"/>
  <c r="E27" i="1"/>
  <c r="D17" i="1"/>
  <c r="E17" i="1"/>
  <c r="E23" i="1"/>
  <c r="D23" i="1"/>
  <c r="D18" i="1"/>
  <c r="E18" i="1"/>
  <c r="E9" i="1"/>
  <c r="D9" i="1"/>
  <c r="E68" i="1"/>
  <c r="E52" i="1"/>
  <c r="E16" i="1"/>
  <c r="D16" i="1"/>
  <c r="E8" i="1"/>
  <c r="E102" i="1"/>
  <c r="D102" i="1"/>
  <c r="E83" i="1"/>
  <c r="D51" i="1"/>
  <c r="E51" i="1"/>
  <c r="D22" i="1"/>
  <c r="E22" i="1"/>
  <c r="D95" i="1"/>
  <c r="E94" i="1"/>
  <c r="D94" i="1"/>
  <c r="D46" i="1"/>
  <c r="E46" i="1"/>
  <c r="D10" i="1"/>
  <c r="E10" i="1"/>
  <c r="E36" i="1"/>
  <c r="D36" i="1"/>
  <c r="D26" i="1"/>
  <c r="E26" i="1"/>
  <c r="D29" i="1"/>
  <c r="E97" i="1"/>
  <c r="E32" i="1"/>
  <c r="D13" i="1"/>
  <c r="E13" i="1"/>
  <c r="E7" i="1"/>
  <c r="D6" i="1"/>
  <c r="E5" i="1"/>
  <c r="D45" i="1" l="1"/>
  <c r="E45" i="1"/>
  <c r="H15" i="1"/>
  <c r="D15" i="1"/>
  <c r="E15" i="1"/>
  <c r="E29" i="1"/>
  <c r="E95" i="1"/>
  <c r="D14" i="1"/>
  <c r="E75" i="1"/>
  <c r="D28" i="1"/>
  <c r="D32" i="1"/>
  <c r="D42" i="1"/>
  <c r="E14" i="1"/>
  <c r="D75" i="1"/>
  <c r="D43" i="1"/>
  <c r="D54" i="1"/>
  <c r="D97" i="1"/>
  <c r="D82" i="1"/>
  <c r="D30" i="1"/>
  <c r="D7" i="1"/>
  <c r="E82" i="1"/>
  <c r="D8" i="1"/>
  <c r="D64" i="1"/>
  <c r="E38" i="1"/>
  <c r="D48" i="1"/>
  <c r="E48" i="1"/>
  <c r="E30" i="1"/>
  <c r="D21" i="1"/>
  <c r="E21" i="1"/>
  <c r="E70" i="1"/>
  <c r="D70" i="1"/>
  <c r="E39" i="1"/>
  <c r="D39" i="1"/>
  <c r="E6" i="1"/>
  <c r="D5" i="1"/>
  <c r="E19" i="1"/>
  <c r="D19" i="1"/>
  <c r="E54" i="1"/>
  <c r="D52" i="1"/>
  <c r="E50" i="1"/>
  <c r="D49" i="1"/>
  <c r="E49" i="1"/>
  <c r="D37" i="1"/>
  <c r="E37" i="1"/>
  <c r="E55" i="1"/>
  <c r="E40" i="1"/>
  <c r="H40" i="1"/>
  <c r="D33" i="1"/>
  <c r="H33" i="1"/>
  <c r="D98" i="1"/>
  <c r="H98" i="1"/>
  <c r="E24" i="1"/>
  <c r="H24" i="1"/>
  <c r="D25" i="1"/>
  <c r="H25" i="1"/>
  <c r="E47" i="1"/>
  <c r="H47" i="1"/>
  <c r="E12" i="1"/>
  <c r="H12" i="1"/>
  <c r="E101" i="1"/>
  <c r="E43" i="1"/>
  <c r="D101" i="1"/>
  <c r="D41" i="1"/>
  <c r="H41" i="1"/>
  <c r="D34" i="1"/>
  <c r="H34" i="1"/>
  <c r="D99" i="1"/>
  <c r="H99" i="1"/>
  <c r="E35" i="1"/>
  <c r="H35" i="1"/>
  <c r="E100" i="1"/>
  <c r="H100" i="1"/>
  <c r="D20" i="1"/>
  <c r="H20" i="1"/>
  <c r="D50" i="1"/>
  <c r="E28" i="1"/>
  <c r="E31" i="1"/>
  <c r="D31" i="1"/>
  <c r="E11" i="1"/>
  <c r="H11" i="1"/>
  <c r="D44" i="1"/>
  <c r="H44" i="1"/>
  <c r="D38" i="1"/>
  <c r="E42" i="1"/>
  <c r="E93" i="1"/>
  <c r="H93" i="1"/>
  <c r="D92" i="1"/>
  <c r="H92" i="1"/>
  <c r="E91" i="1"/>
  <c r="D91" i="1"/>
  <c r="D90" i="1"/>
  <c r="E90" i="1"/>
  <c r="D89" i="1"/>
  <c r="E89" i="1"/>
  <c r="E96" i="1"/>
  <c r="D96" i="1"/>
  <c r="E88" i="1"/>
  <c r="H88" i="1"/>
  <c r="D87" i="1"/>
  <c r="E87" i="1"/>
  <c r="D86" i="1"/>
  <c r="H86" i="1"/>
  <c r="E86" i="1"/>
  <c r="D85" i="1"/>
  <c r="E85" i="1"/>
  <c r="D84" i="1"/>
  <c r="E84" i="1"/>
  <c r="D83" i="1"/>
  <c r="D81" i="1"/>
  <c r="E81" i="1"/>
  <c r="E80" i="1"/>
  <c r="H80" i="1"/>
  <c r="E79" i="1"/>
  <c r="D79" i="1"/>
  <c r="D78" i="1"/>
  <c r="E78" i="1"/>
  <c r="E77" i="1"/>
  <c r="D77" i="1"/>
  <c r="E76" i="1"/>
  <c r="D76" i="1"/>
  <c r="D74" i="1"/>
  <c r="E74" i="1"/>
  <c r="E73" i="1"/>
  <c r="H73" i="1"/>
  <c r="D73" i="1"/>
  <c r="E71" i="1"/>
  <c r="D71" i="1"/>
  <c r="E69" i="1"/>
  <c r="D69" i="1"/>
  <c r="D68" i="1"/>
  <c r="D67" i="1"/>
  <c r="E67" i="1"/>
  <c r="E66" i="1"/>
  <c r="D66" i="1"/>
  <c r="E65" i="1"/>
  <c r="D65" i="1"/>
  <c r="E64" i="1"/>
  <c r="E63" i="1"/>
  <c r="D63" i="1"/>
  <c r="E62" i="1"/>
  <c r="D62" i="1"/>
  <c r="E61" i="1"/>
  <c r="H61" i="1"/>
  <c r="D60" i="1"/>
  <c r="E60" i="1"/>
  <c r="E59" i="1"/>
  <c r="H59" i="1"/>
  <c r="D58" i="1"/>
  <c r="E58" i="1"/>
  <c r="E57" i="1"/>
  <c r="D57" i="1"/>
  <c r="D56" i="1"/>
  <c r="E56" i="1"/>
  <c r="D55" i="1"/>
  <c r="D53" i="1"/>
  <c r="H53" i="1"/>
  <c r="E53" i="1"/>
  <c r="D61" i="1"/>
  <c r="E99" i="1"/>
  <c r="E25" i="1"/>
  <c r="D100" i="1"/>
  <c r="E34" i="1"/>
  <c r="D80" i="1"/>
  <c r="E92" i="1"/>
  <c r="D93" i="1"/>
  <c r="E33" i="1"/>
  <c r="E98" i="1"/>
  <c r="D35" i="1"/>
  <c r="D40" i="1"/>
  <c r="E20" i="1"/>
  <c r="D88" i="1"/>
  <c r="E41" i="1"/>
  <c r="D24" i="1"/>
  <c r="E44" i="1"/>
  <c r="D11" i="1"/>
  <c r="D12" i="1"/>
  <c r="E3" i="1"/>
  <c r="D3" i="1"/>
  <c r="D4" i="1"/>
  <c r="E4" i="1"/>
  <c r="R4" i="1" l="1"/>
  <c r="R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Hanson</author>
  </authors>
  <commentList>
    <comment ref="O17" authorId="0" shapeId="0" xr:uid="{1C81A549-4D45-4F09-B78A-4D92BB9015F3}">
      <text>
        <r>
          <rPr>
            <sz val="9"/>
            <color indexed="81"/>
            <rFont val="Tahoma"/>
            <family val="2"/>
          </rPr>
          <t xml:space="preserve">Joined in 2009; then rejoined in 2020 after a brief membership pause.
</t>
        </r>
      </text>
    </comment>
    <comment ref="O34" authorId="0" shapeId="0" xr:uid="{BFEFBC52-A48D-461F-81E3-6B945F588A91}">
      <text>
        <r>
          <rPr>
            <sz val="9"/>
            <color indexed="81"/>
            <rFont val="Tahoma"/>
            <family val="2"/>
          </rPr>
          <t xml:space="preserve">Brett resigned in 2022 and was reinstated for 2023.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Hanson</author>
  </authors>
  <commentList>
    <comment ref="Q20" authorId="0" shapeId="0" xr:uid="{80F1CA39-3297-4BE5-9EB2-2B70FA51E060}">
      <text>
        <r>
          <rPr>
            <sz val="9"/>
            <color indexed="81"/>
            <rFont val="Tahoma"/>
            <family val="2"/>
          </rPr>
          <t xml:space="preserve">Foundation Rep to Board
</t>
        </r>
      </text>
    </comment>
    <comment ref="S20" authorId="0" shapeId="0" xr:uid="{F60CD7E3-9AEE-488F-8FAB-B9F90E668ADB}">
      <text>
        <r>
          <rPr>
            <sz val="9"/>
            <color indexed="81"/>
            <rFont val="Tahoma"/>
            <family val="2"/>
          </rPr>
          <t xml:space="preserve">Foundation Rep to Board
</t>
        </r>
      </text>
    </comment>
    <comment ref="I25" authorId="0" shapeId="0" xr:uid="{5E50E19E-4C5A-4C01-A519-1E7FCEB9D3AC}">
      <text>
        <r>
          <rPr>
            <sz val="9"/>
            <color indexed="81"/>
            <rFont val="Tahoma"/>
            <family val="2"/>
          </rPr>
          <t xml:space="preserve">Foundation Rep to BOD
</t>
        </r>
      </text>
    </comment>
    <comment ref="K25" authorId="0" shapeId="0" xr:uid="{4D5DACAC-8DFE-4E32-A36D-E8CA07C30F1E}">
      <text>
        <r>
          <rPr>
            <sz val="9"/>
            <color indexed="81"/>
            <rFont val="Tahoma"/>
            <family val="2"/>
          </rPr>
          <t xml:space="preserve">Foundation Rep to BOD
</t>
        </r>
      </text>
    </comment>
    <comment ref="M25" authorId="0" shapeId="0" xr:uid="{2C31DE59-DB4B-45C8-80A6-5D6D6B650D35}">
      <text>
        <r>
          <rPr>
            <sz val="9"/>
            <color indexed="81"/>
            <rFont val="Tahoma"/>
            <family val="2"/>
          </rPr>
          <t xml:space="preserve">Foundation Rep to BOD
</t>
        </r>
      </text>
    </comment>
    <comment ref="O25" authorId="0" shapeId="0" xr:uid="{656C8086-4FB7-4F0B-A812-45D22B753045}">
      <text>
        <r>
          <rPr>
            <sz val="9"/>
            <color indexed="81"/>
            <rFont val="Tahoma"/>
            <family val="2"/>
          </rPr>
          <t xml:space="preserve">Foundation Rep to BOD
</t>
        </r>
      </text>
    </comment>
  </commentList>
</comments>
</file>

<file path=xl/sharedStrings.xml><?xml version="1.0" encoding="utf-8"?>
<sst xmlns="http://schemas.openxmlformats.org/spreadsheetml/2006/main" count="1425" uniqueCount="350">
  <si>
    <t>Active</t>
  </si>
  <si>
    <t>Abeyta</t>
  </si>
  <si>
    <t>Tim</t>
  </si>
  <si>
    <t>Rookie</t>
  </si>
  <si>
    <t>Adams</t>
  </si>
  <si>
    <t>Todd</t>
  </si>
  <si>
    <t>Amado</t>
  </si>
  <si>
    <t>Greg</t>
  </si>
  <si>
    <t>Dennis</t>
  </si>
  <si>
    <t>Bill</t>
  </si>
  <si>
    <t>Bader</t>
  </si>
  <si>
    <t>Scott</t>
  </si>
  <si>
    <t>Bailliere</t>
  </si>
  <si>
    <t>Larry</t>
  </si>
  <si>
    <t>Bedient</t>
  </si>
  <si>
    <t>Kevin</t>
  </si>
  <si>
    <t>Begody</t>
  </si>
  <si>
    <t>Adam</t>
  </si>
  <si>
    <t>Mike</t>
  </si>
  <si>
    <t>Brewster</t>
  </si>
  <si>
    <t>Chris</t>
  </si>
  <si>
    <t>Brown</t>
  </si>
  <si>
    <t>Andy</t>
  </si>
  <si>
    <t>Jay</t>
  </si>
  <si>
    <t>Burnett</t>
  </si>
  <si>
    <t>Brian</t>
  </si>
  <si>
    <t>Caldwell</t>
  </si>
  <si>
    <t>Carney</t>
  </si>
  <si>
    <t>Chad</t>
  </si>
  <si>
    <t>Casselberry</t>
  </si>
  <si>
    <t>Danny</t>
  </si>
  <si>
    <t>Lynn</t>
  </si>
  <si>
    <t>Censky</t>
  </si>
  <si>
    <t>Churchill</t>
  </si>
  <si>
    <t>Clark</t>
  </si>
  <si>
    <t>Andrew</t>
  </si>
  <si>
    <t>Coco</t>
  </si>
  <si>
    <t xml:space="preserve">Pat </t>
  </si>
  <si>
    <t>Cohen</t>
  </si>
  <si>
    <t>Coleman</t>
  </si>
  <si>
    <t>Don</t>
  </si>
  <si>
    <t>Crowley</t>
  </si>
  <si>
    <t>Cruz</t>
  </si>
  <si>
    <t>Hiram</t>
  </si>
  <si>
    <t>Davenport</t>
  </si>
  <si>
    <t>Deron</t>
  </si>
  <si>
    <t>Dellos</t>
  </si>
  <si>
    <t>Dolan</t>
  </si>
  <si>
    <t>Dan</t>
  </si>
  <si>
    <t>Eddy</t>
  </si>
  <si>
    <t>Steven</t>
  </si>
  <si>
    <t>Edwards</t>
  </si>
  <si>
    <t>Craig</t>
  </si>
  <si>
    <t>Tom</t>
  </si>
  <si>
    <t>Emami</t>
  </si>
  <si>
    <t>AJ</t>
  </si>
  <si>
    <t>Fetzer</t>
  </si>
  <si>
    <t>Figueroa</t>
  </si>
  <si>
    <t>John</t>
  </si>
  <si>
    <t>Foerster</t>
  </si>
  <si>
    <t>Bryan</t>
  </si>
  <si>
    <t>Garcia</t>
  </si>
  <si>
    <t>Rudy</t>
  </si>
  <si>
    <t>Gardner</t>
  </si>
  <si>
    <t>Geary</t>
  </si>
  <si>
    <t>Reggie</t>
  </si>
  <si>
    <t>Gomez</t>
  </si>
  <si>
    <t>Frank</t>
  </si>
  <si>
    <t>Gonzales</t>
  </si>
  <si>
    <t>Vince</t>
  </si>
  <si>
    <t>Gould</t>
  </si>
  <si>
    <t>Brett</t>
  </si>
  <si>
    <t>Harper</t>
  </si>
  <si>
    <t>Matt</t>
  </si>
  <si>
    <t>Healy</t>
  </si>
  <si>
    <t>Johnny</t>
  </si>
  <si>
    <t>Jim</t>
  </si>
  <si>
    <t>Hoch</t>
  </si>
  <si>
    <t>Troy</t>
  </si>
  <si>
    <t>Hopkins</t>
  </si>
  <si>
    <t>Stevie</t>
  </si>
  <si>
    <t>Jacobson</t>
  </si>
  <si>
    <t>Eric</t>
  </si>
  <si>
    <t>Johnson</t>
  </si>
  <si>
    <t>Jordan</t>
  </si>
  <si>
    <t>Kemmerly</t>
  </si>
  <si>
    <t>Brogan</t>
  </si>
  <si>
    <t>King</t>
  </si>
  <si>
    <t>Tommy</t>
  </si>
  <si>
    <t>Kline</t>
  </si>
  <si>
    <t>Ted</t>
  </si>
  <si>
    <t>Korn</t>
  </si>
  <si>
    <t>Ben</t>
  </si>
  <si>
    <t>Kowalewski</t>
  </si>
  <si>
    <t>Jeffrey</t>
  </si>
  <si>
    <t>Kreutz</t>
  </si>
  <si>
    <t>Nick</t>
  </si>
  <si>
    <t>Ladrido</t>
  </si>
  <si>
    <t>Lambright</t>
  </si>
  <si>
    <t>Zach</t>
  </si>
  <si>
    <t>Lanham-Baird</t>
  </si>
  <si>
    <t>Nathan</t>
  </si>
  <si>
    <t>Levin</t>
  </si>
  <si>
    <t>Zack</t>
  </si>
  <si>
    <t>Lightcap</t>
  </si>
  <si>
    <t>Jed</t>
  </si>
  <si>
    <t>Mayer</t>
  </si>
  <si>
    <t>Nico</t>
  </si>
  <si>
    <t>McKay</t>
  </si>
  <si>
    <t>Cameron</t>
  </si>
  <si>
    <t>McKinney</t>
  </si>
  <si>
    <t>Meger</t>
  </si>
  <si>
    <t>Menke</t>
  </si>
  <si>
    <t>Meyer</t>
  </si>
  <si>
    <t>Aaron</t>
  </si>
  <si>
    <t>Moore</t>
  </si>
  <si>
    <t>Moskowitz</t>
  </si>
  <si>
    <t>Joel R.</t>
  </si>
  <si>
    <t>Murphy</t>
  </si>
  <si>
    <t>Patrick</t>
  </si>
  <si>
    <t>Murray</t>
  </si>
  <si>
    <t>Sean</t>
  </si>
  <si>
    <t>Nanna</t>
  </si>
  <si>
    <t>Spanky</t>
  </si>
  <si>
    <t>Nentl</t>
  </si>
  <si>
    <t>Orosco</t>
  </si>
  <si>
    <t>Josh</t>
  </si>
  <si>
    <t>Patel</t>
  </si>
  <si>
    <t>Vijay</t>
  </si>
  <si>
    <t>Patterson</t>
  </si>
  <si>
    <t>Conor</t>
  </si>
  <si>
    <t>Polonski</t>
  </si>
  <si>
    <t>Puntenney</t>
  </si>
  <si>
    <t>Purvis</t>
  </si>
  <si>
    <t>Rob</t>
  </si>
  <si>
    <t>Reed</t>
  </si>
  <si>
    <t>Clint</t>
  </si>
  <si>
    <t>Repucci</t>
  </si>
  <si>
    <t>Robinson</t>
  </si>
  <si>
    <t>Jason</t>
  </si>
  <si>
    <t>Rodriguez</t>
  </si>
  <si>
    <t>Rich</t>
  </si>
  <si>
    <t>Sabourin</t>
  </si>
  <si>
    <t>Jeremy</t>
  </si>
  <si>
    <t>Sarikas</t>
  </si>
  <si>
    <t xml:space="preserve">Sarnoski </t>
  </si>
  <si>
    <t>Kenny</t>
  </si>
  <si>
    <t>Saroni</t>
  </si>
  <si>
    <t>Vianney</t>
  </si>
  <si>
    <t>Schmidt</t>
  </si>
  <si>
    <t>Schmuker</t>
  </si>
  <si>
    <t>Schroeder</t>
  </si>
  <si>
    <t>Sepp</t>
  </si>
  <si>
    <t>Shaw, Jr.</t>
  </si>
  <si>
    <t>Billy</t>
  </si>
  <si>
    <t>Steve</t>
  </si>
  <si>
    <t>Skoczen</t>
  </si>
  <si>
    <t>Smith</t>
  </si>
  <si>
    <t>Travis</t>
  </si>
  <si>
    <t>Stutz</t>
  </si>
  <si>
    <t>Thompson</t>
  </si>
  <si>
    <t>Victor</t>
  </si>
  <si>
    <t>Tofel</t>
  </si>
  <si>
    <t>Tufts</t>
  </si>
  <si>
    <t>Tvedt</t>
  </si>
  <si>
    <t>Lukas</t>
  </si>
  <si>
    <t>Underhill</t>
  </si>
  <si>
    <t>Vasquez</t>
  </si>
  <si>
    <t>Vaughan</t>
  </si>
  <si>
    <t>Vorholzer</t>
  </si>
  <si>
    <t>Ward</t>
  </si>
  <si>
    <t>Warfield</t>
  </si>
  <si>
    <t>Tyler</t>
  </si>
  <si>
    <t>Zeiller</t>
  </si>
  <si>
    <t>POINTS</t>
  </si>
  <si>
    <t>ELIGIBLE</t>
  </si>
  <si>
    <t>STATUS</t>
  </si>
  <si>
    <t>LAST</t>
  </si>
  <si>
    <t>FIRST</t>
  </si>
  <si>
    <t>SENIOR</t>
  </si>
  <si>
    <t>LIFE</t>
  </si>
  <si>
    <t xml:space="preserve">Cameron </t>
  </si>
  <si>
    <t xml:space="preserve">Ryan </t>
  </si>
  <si>
    <t xml:space="preserve">Todd </t>
  </si>
  <si>
    <t>MEMBERSHIP</t>
  </si>
  <si>
    <t>EVENT</t>
  </si>
  <si>
    <t xml:space="preserve">Isaac </t>
  </si>
  <si>
    <t>SALES</t>
  </si>
  <si>
    <t>SERVICE</t>
  </si>
  <si>
    <t>YEAR JOINED</t>
  </si>
  <si>
    <t>YEARS OF MEMBERSHIP</t>
  </si>
  <si>
    <t>-</t>
  </si>
  <si>
    <t>TOTAL</t>
  </si>
  <si>
    <t>$/15K</t>
  </si>
  <si>
    <t>$ POINTS</t>
  </si>
  <si>
    <t>1980-2016</t>
  </si>
  <si>
    <t>AVG/YR</t>
  </si>
  <si>
    <t>President—Event (Event Chair)</t>
  </si>
  <si>
    <t>President—Membership or Foundation</t>
  </si>
  <si>
    <t>Vice President—Event</t>
  </si>
  <si>
    <t>Vice President—Membership or Foundation</t>
  </si>
  <si>
    <t>Treasurer, if serving on one Board</t>
  </si>
  <si>
    <t>Treasurer, if serving on two or more Boards</t>
  </si>
  <si>
    <t>Secretary, if serving on one or more Boards</t>
  </si>
  <si>
    <t>Immediate Past President</t>
  </si>
  <si>
    <t xml:space="preserve">At-Large Director, All Boards </t>
  </si>
  <si>
    <t>Rookie Chair</t>
  </si>
  <si>
    <t>Social Chair</t>
  </si>
  <si>
    <t>Charity Selection Committee Chair</t>
  </si>
  <si>
    <t>Membership Committee Chair</t>
  </si>
  <si>
    <t>Social Activity Chair for a sanctioned event; e.g., steak fry, lobster party, etc.</t>
  </si>
  <si>
    <t>Rookie of the Year</t>
  </si>
  <si>
    <t>ACTIVITY</t>
  </si>
  <si>
    <t>Accounting Lead</t>
  </si>
  <si>
    <t>Field General</t>
  </si>
  <si>
    <t>Front Gate Lead</t>
  </si>
  <si>
    <t>Parking Lead</t>
  </si>
  <si>
    <t>Raffle Lead</t>
  </si>
  <si>
    <t>2024 POINTS</t>
  </si>
  <si>
    <t>Joel</t>
  </si>
  <si>
    <t xml:space="preserve">Dan </t>
  </si>
  <si>
    <t>BOD</t>
  </si>
  <si>
    <t>BOD(1)</t>
  </si>
  <si>
    <t>ROY</t>
  </si>
  <si>
    <t>RKC</t>
  </si>
  <si>
    <t>CSC</t>
  </si>
  <si>
    <t>KEY</t>
  </si>
  <si>
    <t>SEC(1)</t>
  </si>
  <si>
    <t>SOC</t>
  </si>
  <si>
    <t>PRE</t>
  </si>
  <si>
    <t>SEC</t>
  </si>
  <si>
    <t>VPE</t>
  </si>
  <si>
    <t>TR1</t>
  </si>
  <si>
    <t>TR2</t>
  </si>
  <si>
    <t>TR1(3)+SEC(1)</t>
  </si>
  <si>
    <t>TR2(4)</t>
  </si>
  <si>
    <t>VPO</t>
  </si>
  <si>
    <t>MCC</t>
  </si>
  <si>
    <t>PRP</t>
  </si>
  <si>
    <t>TR1(3,FND)</t>
  </si>
  <si>
    <t>EXS</t>
  </si>
  <si>
    <t>BOD(1)+SOC(3)</t>
  </si>
  <si>
    <t>SOC(3)</t>
  </si>
  <si>
    <t>GEN</t>
  </si>
  <si>
    <t>PUB</t>
  </si>
  <si>
    <t>VPS</t>
  </si>
  <si>
    <t>RAF</t>
  </si>
  <si>
    <t>Exceptional Service</t>
  </si>
  <si>
    <t>GEN,PUB</t>
  </si>
  <si>
    <t>EXS,GEN,PUB</t>
  </si>
  <si>
    <t>EXS,PUB(2)</t>
  </si>
  <si>
    <t>(#)</t>
  </si>
  <si>
    <t>Points awarded variation from standard Rules</t>
  </si>
  <si>
    <t>SCT</t>
  </si>
  <si>
    <t>Security Lead</t>
  </si>
  <si>
    <t>RKC(3)</t>
  </si>
  <si>
    <t>VPE(3)</t>
  </si>
  <si>
    <t>FTG</t>
  </si>
  <si>
    <t>ELC</t>
  </si>
  <si>
    <t>Electrical Lead</t>
  </si>
  <si>
    <t>SLS</t>
  </si>
  <si>
    <t>Sales Lead</t>
  </si>
  <si>
    <t>BRB</t>
  </si>
  <si>
    <t>Bar Build Lead</t>
  </si>
  <si>
    <t>PKG</t>
  </si>
  <si>
    <t>PRK</t>
  </si>
  <si>
    <t>ALC</t>
  </si>
  <si>
    <t>Alcoholic Beverage Lead</t>
  </si>
  <si>
    <t>PRP(1)</t>
  </si>
  <si>
    <t>PRS(3)</t>
  </si>
  <si>
    <t>PRE(5)</t>
  </si>
  <si>
    <t>GAR</t>
  </si>
  <si>
    <t>Garbology Lead</t>
  </si>
  <si>
    <t>Tables/Chairs Lead</t>
  </si>
  <si>
    <t>TBL</t>
  </si>
  <si>
    <t>A/V</t>
  </si>
  <si>
    <t>CAS</t>
  </si>
  <si>
    <t>SPO</t>
  </si>
  <si>
    <t>Spouses' Area Lead</t>
  </si>
  <si>
    <t>VIP, Field Suites Lead</t>
  </si>
  <si>
    <t>Casino Lead</t>
  </si>
  <si>
    <t>Publicity Lead</t>
  </si>
  <si>
    <t>CON</t>
  </si>
  <si>
    <t>Construction Lead</t>
  </si>
  <si>
    <t>ROY(1)</t>
  </si>
  <si>
    <t>Construction-Stage Lead</t>
  </si>
  <si>
    <t>COS</t>
  </si>
  <si>
    <t>GRA</t>
  </si>
  <si>
    <t>Graphic Design Lead</t>
  </si>
  <si>
    <t>BAR</t>
  </si>
  <si>
    <t>Bars/Bartenders Lead</t>
  </si>
  <si>
    <t>BAR,EXS</t>
  </si>
  <si>
    <r>
      <t xml:space="preserve">SENIOR </t>
    </r>
    <r>
      <rPr>
        <b/>
        <sz val="10"/>
        <color theme="0" tint="-0.14999847407452621"/>
        <rFont val="Bierstadt"/>
        <family val="2"/>
      </rPr>
      <t>[10Y+12P]</t>
    </r>
  </si>
  <si>
    <r>
      <t xml:space="preserve">LIFE </t>
    </r>
    <r>
      <rPr>
        <b/>
        <sz val="10"/>
        <color theme="0" tint="-0.14999847407452621"/>
        <rFont val="Bierstadt"/>
        <family val="2"/>
      </rPr>
      <t>[15Y+30P]</t>
    </r>
  </si>
  <si>
    <t>VFS</t>
  </si>
  <si>
    <t>VFS,EXS</t>
  </si>
  <si>
    <t>CON,GEN</t>
  </si>
  <si>
    <t>WRK</t>
  </si>
  <si>
    <t>Work Assignments Lead</t>
  </si>
  <si>
    <t>SCR</t>
  </si>
  <si>
    <t>Scrim Lead</t>
  </si>
  <si>
    <t>PUB,SCR</t>
  </si>
  <si>
    <t>SPE</t>
  </si>
  <si>
    <t>Special Events lead</t>
  </si>
  <si>
    <t>FUD</t>
  </si>
  <si>
    <t>Food Lead</t>
  </si>
  <si>
    <t>PTS/YR</t>
  </si>
  <si>
    <t>VIT</t>
  </si>
  <si>
    <t>Venue IT/WIFI</t>
  </si>
  <si>
    <t>MCC(1)</t>
  </si>
  <si>
    <t>ACT</t>
  </si>
  <si>
    <t>VPO(1)</t>
  </si>
  <si>
    <t>FGT</t>
  </si>
  <si>
    <t>A/V &amp; Corporate Recognition</t>
  </si>
  <si>
    <t>PRO</t>
  </si>
  <si>
    <t>SLS,TOP</t>
  </si>
  <si>
    <t>TOP</t>
  </si>
  <si>
    <t xml:space="preserve">Top Sales </t>
  </si>
  <si>
    <t>NAL</t>
  </si>
  <si>
    <t>Non-alcoholic Benverages Lead</t>
  </si>
  <si>
    <t>CIG</t>
  </si>
  <si>
    <t>Cigar Bar</t>
  </si>
  <si>
    <t>RVP</t>
  </si>
  <si>
    <t>RV Park Lead</t>
  </si>
  <si>
    <t>SPD</t>
  </si>
  <si>
    <t>Specialty Drinks Lead</t>
  </si>
  <si>
    <t>TRP</t>
  </si>
  <si>
    <t>Transportation Lead</t>
  </si>
  <si>
    <t>PUB,GEN</t>
  </si>
  <si>
    <t>BOD-M,F</t>
  </si>
  <si>
    <t>BOD-F(1)</t>
  </si>
  <si>
    <t>PRP(1),BOD-F(1)</t>
  </si>
  <si>
    <t>PRE(5),BOD-F(1)</t>
  </si>
  <si>
    <t>SEC(1),BOD-F(1)</t>
  </si>
  <si>
    <t>PRO(3)</t>
  </si>
  <si>
    <t>PRO(3),BOD-F(1)</t>
  </si>
  <si>
    <t>SAC</t>
  </si>
  <si>
    <t>SAC(1)</t>
  </si>
  <si>
    <t>BOD(1),SAC(1)</t>
  </si>
  <si>
    <t>SAC-P(1)</t>
  </si>
  <si>
    <t>RKC(3),SAC-L(1)</t>
  </si>
  <si>
    <t>SAC-G(1)</t>
  </si>
  <si>
    <t>BOD(1),SAC-G(2)</t>
  </si>
  <si>
    <t>BOD(1),SAC-S(1)</t>
  </si>
  <si>
    <t>BOD(1),SAC-P(1)</t>
  </si>
  <si>
    <t>SAC-P(1),BOD-F(1)</t>
  </si>
  <si>
    <t>VPO(1),SAC-W(1)</t>
  </si>
  <si>
    <t>SAC-S(1)</t>
  </si>
  <si>
    <t>SAC-L(1)</t>
  </si>
  <si>
    <t>SAC-P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</si>
</sst>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b/>
      <sz val="11"/>
      <name val="Bierstadt"/>
      <family val="2"/>
    </font>
    <font>
      <sz val="11"/>
      <name val="Bierstadt"/>
      <family val="2"/>
    </font>
    <font>
      <b/>
      <sz val="11"/>
      <color theme="0"/>
      <name val="Bierstadt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Bierstadt"/>
      <family val="2"/>
    </font>
    <font>
      <b/>
      <sz val="11"/>
      <color theme="0" tint="-0.249977111117893"/>
      <name val="Bierstadt"/>
      <family val="2"/>
    </font>
    <font>
      <sz val="11"/>
      <name val="Arial"/>
      <family val="2"/>
    </font>
    <font>
      <sz val="11"/>
      <name val="Tw Cen MT"/>
      <family val="2"/>
      <scheme val="minor"/>
    </font>
    <font>
      <b/>
      <sz val="11"/>
      <color rgb="FFFFFF00"/>
      <name val="Tw Cen MT"/>
      <family val="2"/>
      <scheme val="minor"/>
    </font>
    <font>
      <b/>
      <sz val="10"/>
      <color theme="0" tint="-0.14999847407452621"/>
      <name val="Bierstadt"/>
      <family val="2"/>
    </font>
    <font>
      <b/>
      <sz val="11"/>
      <color theme="0" tint="-0.249977111117893"/>
      <name val="Tw Cen MT"/>
      <family val="2"/>
      <scheme val="minor"/>
    </font>
    <font>
      <sz val="11"/>
      <color theme="0" tint="-0.249977111117893"/>
      <name val="Tw Cen MT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4F6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5A2"/>
        <bgColor indexed="64"/>
      </patternFill>
    </fill>
    <fill>
      <patternFill patternType="solid">
        <fgColor rgb="FF0C539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FDF9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ck">
        <color theme="0"/>
      </left>
      <right/>
      <top style="thick">
        <color theme="0"/>
      </top>
      <bottom style="thin">
        <color theme="0" tint="-0.34998626667073579"/>
      </bottom>
      <diagonal/>
    </border>
    <border>
      <left/>
      <right style="thick">
        <color theme="0"/>
      </right>
      <top style="thick">
        <color theme="0"/>
      </top>
      <bottom style="thin">
        <color theme="0" tint="-0.34998626667073579"/>
      </bottom>
      <diagonal/>
    </border>
    <border>
      <left style="thick">
        <color theme="0"/>
      </left>
      <right style="thin">
        <color theme="0" tint="-0.34998626667073579"/>
      </right>
      <top style="thin">
        <color theme="0" tint="-0.34998626667073579"/>
      </top>
      <bottom style="thick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/>
      </bottom>
      <diagonal/>
    </border>
    <border>
      <left style="thick">
        <color theme="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ck">
        <color theme="0"/>
      </top>
      <bottom style="thin">
        <color theme="0" tint="-0.34998626667073579"/>
      </bottom>
      <diagonal/>
    </border>
    <border>
      <left style="thick">
        <color theme="0"/>
      </left>
      <right/>
      <top/>
      <bottom style="thin">
        <color theme="0" tint="-0.34998626667073579"/>
      </bottom>
      <diagonal/>
    </border>
    <border>
      <left/>
      <right style="thick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 style="thin">
        <color theme="0" tint="-0.34998626667073579"/>
      </top>
      <bottom/>
      <diagonal/>
    </border>
    <border>
      <left style="thick">
        <color theme="0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theme="0"/>
      </left>
      <right/>
      <top style="thin">
        <color theme="0" tint="-0.34998626667073579"/>
      </top>
      <bottom/>
      <diagonal/>
    </border>
    <border>
      <left style="medium">
        <color rgb="FFFFC000"/>
      </left>
      <right style="thin">
        <color theme="0" tint="-0.34998626667073579"/>
      </right>
      <top style="thick">
        <color theme="0"/>
      </top>
      <bottom style="thin">
        <color theme="0" tint="-0.34998626667073579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medium">
        <color rgb="FFFFC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rgb="FFFFC00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 tint="-0.34998626667073579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 tint="-0.34998626667073579"/>
      </bottom>
      <diagonal/>
    </border>
    <border>
      <left style="thick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ck">
        <color theme="0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right" wrapText="1" indent="1"/>
    </xf>
    <xf numFmtId="0" fontId="0" fillId="0" borderId="0" xfId="0" applyAlignment="1">
      <alignment horizontal="center"/>
    </xf>
    <xf numFmtId="0" fontId="0" fillId="2" borderId="0" xfId="0" applyFill="1"/>
    <xf numFmtId="0" fontId="5" fillId="0" borderId="0" xfId="0" applyFont="1" applyAlignment="1" applyProtection="1">
      <alignment horizontal="left" indent="1"/>
      <protection locked="0"/>
    </xf>
    <xf numFmtId="0" fontId="5" fillId="5" borderId="2" xfId="0" applyFont="1" applyFill="1" applyBorder="1" applyAlignment="1" applyProtection="1">
      <alignment horizontal="left" indent="1"/>
      <protection locked="0"/>
    </xf>
    <xf numFmtId="0" fontId="5" fillId="5" borderId="3" xfId="0" applyFont="1" applyFill="1" applyBorder="1" applyAlignment="1" applyProtection="1">
      <alignment horizontal="left" indent="1"/>
      <protection locked="0"/>
    </xf>
    <xf numFmtId="0" fontId="5" fillId="5" borderId="6" xfId="0" applyFont="1" applyFill="1" applyBorder="1" applyAlignment="1" applyProtection="1">
      <alignment horizontal="left" indent="1"/>
      <protection locked="0"/>
    </xf>
    <xf numFmtId="0" fontId="5" fillId="5" borderId="9" xfId="0" applyFont="1" applyFill="1" applyBorder="1" applyAlignment="1" applyProtection="1">
      <alignment horizontal="left" indent="1"/>
      <protection locked="0"/>
    </xf>
    <xf numFmtId="49" fontId="6" fillId="4" borderId="16" xfId="0" applyNumberFormat="1" applyFont="1" applyFill="1" applyBorder="1" applyAlignment="1" applyProtection="1">
      <alignment horizontal="center" wrapText="1"/>
      <protection locked="0"/>
    </xf>
    <xf numFmtId="49" fontId="6" fillId="4" borderId="17" xfId="0" applyNumberFormat="1" applyFont="1" applyFill="1" applyBorder="1" applyAlignment="1" applyProtection="1">
      <alignment horizontal="center" wrapText="1"/>
      <protection locked="0"/>
    </xf>
    <xf numFmtId="0" fontId="1" fillId="3" borderId="24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4" fillId="5" borderId="20" xfId="0" applyFont="1" applyFill="1" applyBorder="1" applyAlignment="1">
      <alignment horizontal="center" wrapText="1"/>
    </xf>
    <xf numFmtId="0" fontId="10" fillId="5" borderId="30" xfId="0" applyFont="1" applyFill="1" applyBorder="1" applyAlignment="1">
      <alignment horizontal="center" wrapText="1"/>
    </xf>
    <xf numFmtId="3" fontId="0" fillId="0" borderId="0" xfId="0" applyNumberFormat="1"/>
    <xf numFmtId="0" fontId="2" fillId="0" borderId="0" xfId="0" applyFont="1"/>
    <xf numFmtId="3" fontId="0" fillId="0" borderId="0" xfId="0" applyNumberFormat="1" applyAlignment="1">
      <alignment horizontal="right" indent="1"/>
    </xf>
    <xf numFmtId="0" fontId="2" fillId="0" borderId="0" xfId="0" applyFont="1" applyAlignment="1">
      <alignment horizontal="center"/>
    </xf>
    <xf numFmtId="164" fontId="1" fillId="8" borderId="6" xfId="0" applyNumberFormat="1" applyFont="1" applyFill="1" applyBorder="1" applyAlignment="1">
      <alignment horizontal="center"/>
    </xf>
    <xf numFmtId="3" fontId="1" fillId="8" borderId="31" xfId="0" applyNumberFormat="1" applyFont="1" applyFill="1" applyBorder="1" applyAlignment="1">
      <alignment horizontal="center"/>
    </xf>
    <xf numFmtId="49" fontId="6" fillId="9" borderId="29" xfId="0" applyNumberFormat="1" applyFont="1" applyFill="1" applyBorder="1" applyAlignment="1" applyProtection="1">
      <alignment horizontal="center" wrapText="1"/>
      <protection locked="0"/>
    </xf>
    <xf numFmtId="164" fontId="1" fillId="8" borderId="33" xfId="0" applyNumberFormat="1" applyFont="1" applyFill="1" applyBorder="1" applyAlignment="1">
      <alignment horizontal="center"/>
    </xf>
    <xf numFmtId="49" fontId="6" fillId="9" borderId="34" xfId="0" applyNumberFormat="1" applyFont="1" applyFill="1" applyBorder="1" applyAlignment="1" applyProtection="1">
      <alignment horizontal="center" wrapText="1"/>
      <protection locked="0"/>
    </xf>
    <xf numFmtId="0" fontId="6" fillId="8" borderId="34" xfId="0" applyFont="1" applyFill="1" applyBorder="1" applyAlignment="1">
      <alignment horizontal="center" wrapText="1"/>
    </xf>
    <xf numFmtId="49" fontId="6" fillId="8" borderId="18" xfId="0" applyNumberFormat="1" applyFont="1" applyFill="1" applyBorder="1" applyAlignment="1" applyProtection="1">
      <alignment horizontal="center" wrapText="1"/>
      <protection locked="0"/>
    </xf>
    <xf numFmtId="49" fontId="6" fillId="8" borderId="34" xfId="0" applyNumberFormat="1" applyFont="1" applyFill="1" applyBorder="1" applyAlignment="1" applyProtection="1">
      <alignment horizontal="center" wrapText="1"/>
      <protection locked="0"/>
    </xf>
    <xf numFmtId="0" fontId="1" fillId="7" borderId="0" xfId="0" applyFont="1" applyFill="1" applyAlignment="1">
      <alignment vertical="top"/>
    </xf>
    <xf numFmtId="0" fontId="1" fillId="7" borderId="0" xfId="0" applyFont="1" applyFill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 wrapText="1"/>
    </xf>
    <xf numFmtId="0" fontId="0" fillId="0" borderId="36" xfId="0" applyBorder="1" applyAlignment="1">
      <alignment horizontal="left" vertical="top"/>
    </xf>
    <xf numFmtId="0" fontId="0" fillId="0" borderId="35" xfId="0" applyBorder="1" applyAlignment="1">
      <alignment vertical="top"/>
    </xf>
    <xf numFmtId="0" fontId="0" fillId="0" borderId="36" xfId="0" applyBorder="1"/>
    <xf numFmtId="0" fontId="0" fillId="0" borderId="35" xfId="0" quotePrefix="1" applyBorder="1" applyAlignment="1">
      <alignment horizontal="left" vertical="top"/>
    </xf>
    <xf numFmtId="0" fontId="0" fillId="0" borderId="35" xfId="0" quotePrefix="1" applyBorder="1" applyAlignment="1">
      <alignment vertical="top"/>
    </xf>
    <xf numFmtId="0" fontId="0" fillId="0" borderId="37" xfId="0" applyBorder="1" applyAlignment="1">
      <alignment horizontal="left" vertical="top"/>
    </xf>
    <xf numFmtId="0" fontId="0" fillId="0" borderId="37" xfId="0" applyBorder="1" applyAlignment="1">
      <alignment horizontal="left" vertical="top" wrapText="1"/>
    </xf>
    <xf numFmtId="0" fontId="0" fillId="0" borderId="37" xfId="0" applyBorder="1" applyAlignment="1">
      <alignment vertical="top"/>
    </xf>
    <xf numFmtId="0" fontId="0" fillId="0" borderId="37" xfId="0" applyBorder="1"/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8" borderId="3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0" fillId="11" borderId="0" xfId="0" applyFill="1"/>
    <xf numFmtId="3" fontId="0" fillId="0" borderId="0" xfId="0" quotePrefix="1" applyNumberFormat="1" applyAlignment="1">
      <alignment horizontal="right" vertical="center"/>
    </xf>
    <xf numFmtId="3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right"/>
    </xf>
    <xf numFmtId="3" fontId="0" fillId="11" borderId="0" xfId="0" applyNumberFormat="1" applyFill="1" applyAlignment="1">
      <alignment horizontal="right"/>
    </xf>
    <xf numFmtId="3" fontId="0" fillId="0" borderId="38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0" fillId="0" borderId="0" xfId="0" applyAlignment="1">
      <alignment horizontal="right" indent="2"/>
    </xf>
    <xf numFmtId="0" fontId="11" fillId="1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8" borderId="39" xfId="0" applyNumberFormat="1" applyFont="1" applyFill="1" applyBorder="1" applyAlignment="1" applyProtection="1">
      <alignment horizontal="right" wrapText="1" indent="1"/>
      <protection locked="0"/>
    </xf>
    <xf numFmtId="3" fontId="1" fillId="8" borderId="40" xfId="0" applyNumberFormat="1" applyFont="1" applyFill="1" applyBorder="1" applyAlignment="1">
      <alignment horizontal="right" indent="1"/>
    </xf>
    <xf numFmtId="0" fontId="12" fillId="12" borderId="31" xfId="0" applyFont="1" applyFill="1" applyBorder="1" applyAlignment="1">
      <alignment horizontal="center" vertical="center" wrapText="1"/>
    </xf>
    <xf numFmtId="3" fontId="12" fillId="12" borderId="31" xfId="0" applyNumberFormat="1" applyFont="1" applyFill="1" applyBorder="1" applyAlignment="1">
      <alignment horizontal="center" vertical="center"/>
    </xf>
    <xf numFmtId="3" fontId="12" fillId="12" borderId="31" xfId="0" quotePrefix="1" applyNumberFormat="1" applyFont="1" applyFill="1" applyBorder="1" applyAlignment="1">
      <alignment horizontal="center" vertical="center"/>
    </xf>
    <xf numFmtId="0" fontId="0" fillId="0" borderId="42" xfId="0" quotePrefix="1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3" xfId="0" applyBorder="1" applyAlignment="1">
      <alignment horizontal="left" vertical="top" wrapText="1"/>
    </xf>
    <xf numFmtId="0" fontId="1" fillId="9" borderId="31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3" fontId="1" fillId="7" borderId="0" xfId="0" applyNumberFormat="1" applyFont="1" applyFill="1" applyAlignment="1">
      <alignment horizontal="right" vertical="center"/>
    </xf>
    <xf numFmtId="0" fontId="1" fillId="7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" fillId="7" borderId="0" xfId="0" applyNumberFormat="1" applyFont="1" applyFill="1" applyAlignment="1">
      <alignment horizontal="right" vertical="center" indent="1"/>
    </xf>
    <xf numFmtId="0" fontId="2" fillId="13" borderId="1" xfId="0" applyFont="1" applyFill="1" applyBorder="1" applyAlignment="1">
      <alignment horizontal="center" vertical="top"/>
    </xf>
    <xf numFmtId="3" fontId="2" fillId="13" borderId="38" xfId="0" applyNumberFormat="1" applyFont="1" applyFill="1" applyBorder="1" applyAlignment="1">
      <alignment horizontal="right" indent="1"/>
    </xf>
    <xf numFmtId="3" fontId="2" fillId="11" borderId="38" xfId="0" applyNumberFormat="1" applyFont="1" applyFill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49" fontId="6" fillId="6" borderId="22" xfId="0" applyNumberFormat="1" applyFont="1" applyFill="1" applyBorder="1" applyAlignment="1" applyProtection="1">
      <alignment horizontal="left" wrapText="1" indent="1"/>
      <protection locked="0"/>
    </xf>
    <xf numFmtId="49" fontId="6" fillId="6" borderId="21" xfId="0" applyNumberFormat="1" applyFont="1" applyFill="1" applyBorder="1" applyAlignment="1" applyProtection="1">
      <alignment horizontal="left" wrapText="1" indent="1"/>
      <protection locked="0"/>
    </xf>
    <xf numFmtId="0" fontId="5" fillId="14" borderId="2" xfId="0" applyFont="1" applyFill="1" applyBorder="1" applyAlignment="1" applyProtection="1">
      <alignment horizontal="left" indent="1"/>
      <protection locked="0"/>
    </xf>
    <xf numFmtId="0" fontId="5" fillId="14" borderId="3" xfId="0" applyFont="1" applyFill="1" applyBorder="1" applyAlignment="1" applyProtection="1">
      <alignment horizontal="left" indent="1"/>
      <protection locked="0"/>
    </xf>
    <xf numFmtId="3" fontId="0" fillId="14" borderId="38" xfId="0" applyNumberFormat="1" applyFill="1" applyBorder="1" applyAlignment="1">
      <alignment horizontal="right" indent="1"/>
    </xf>
    <xf numFmtId="0" fontId="0" fillId="15" borderId="42" xfId="0" applyFill="1" applyBorder="1" applyAlignment="1">
      <alignment horizontal="left" vertical="top"/>
    </xf>
    <xf numFmtId="0" fontId="0" fillId="15" borderId="36" xfId="0" applyFill="1" applyBorder="1" applyAlignment="1">
      <alignment horizontal="left" vertical="top" wrapText="1"/>
    </xf>
    <xf numFmtId="0" fontId="0" fillId="15" borderId="37" xfId="0" applyFill="1" applyBorder="1" applyAlignment="1">
      <alignment horizontal="left" vertical="top" wrapText="1"/>
    </xf>
    <xf numFmtId="0" fontId="0" fillId="15" borderId="36" xfId="0" applyFill="1" applyBorder="1" applyAlignment="1">
      <alignment horizontal="left" vertical="top"/>
    </xf>
    <xf numFmtId="0" fontId="0" fillId="16" borderId="42" xfId="0" applyFill="1" applyBorder="1" applyAlignment="1">
      <alignment horizontal="left" vertical="top"/>
    </xf>
    <xf numFmtId="0" fontId="0" fillId="16" borderId="36" xfId="0" applyFill="1" applyBorder="1" applyAlignment="1">
      <alignment horizontal="left" vertical="top" wrapText="1"/>
    </xf>
    <xf numFmtId="0" fontId="0" fillId="16" borderId="37" xfId="0" applyFill="1" applyBorder="1" applyAlignment="1">
      <alignment horizontal="left" vertical="top" wrapText="1"/>
    </xf>
    <xf numFmtId="0" fontId="0" fillId="16" borderId="36" xfId="0" applyFill="1" applyBorder="1" applyAlignment="1">
      <alignment horizontal="left" vertical="top"/>
    </xf>
    <xf numFmtId="0" fontId="0" fillId="0" borderId="0" xfId="0" applyAlignment="1">
      <alignment horizontal="left"/>
    </xf>
    <xf numFmtId="0" fontId="1" fillId="7" borderId="43" xfId="0" applyFont="1" applyFill="1" applyBorder="1" applyAlignment="1">
      <alignment horizontal="center" vertical="center"/>
    </xf>
    <xf numFmtId="49" fontId="6" fillId="3" borderId="45" xfId="0" applyNumberFormat="1" applyFont="1" applyFill="1" applyBorder="1" applyAlignment="1" applyProtection="1">
      <alignment horizontal="center" wrapText="1"/>
      <protection locked="0"/>
    </xf>
    <xf numFmtId="3" fontId="1" fillId="3" borderId="47" xfId="0" applyNumberFormat="1" applyFont="1" applyFill="1" applyBorder="1" applyAlignment="1">
      <alignment horizontal="center"/>
    </xf>
    <xf numFmtId="3" fontId="1" fillId="3" borderId="49" xfId="0" applyNumberFormat="1" applyFont="1" applyFill="1" applyBorder="1" applyAlignment="1">
      <alignment horizontal="center"/>
    </xf>
    <xf numFmtId="49" fontId="10" fillId="3" borderId="46" xfId="0" applyNumberFormat="1" applyFont="1" applyFill="1" applyBorder="1" applyAlignment="1" applyProtection="1">
      <alignment horizontal="center" wrapText="1"/>
      <protection locked="0"/>
    </xf>
    <xf numFmtId="164" fontId="15" fillId="3" borderId="48" xfId="0" applyNumberFormat="1" applyFont="1" applyFill="1" applyBorder="1" applyAlignment="1">
      <alignment horizontal="center"/>
    </xf>
    <xf numFmtId="164" fontId="15" fillId="3" borderId="50" xfId="0" applyNumberFormat="1" applyFont="1" applyFill="1" applyBorder="1" applyAlignment="1">
      <alignment horizontal="center"/>
    </xf>
    <xf numFmtId="0" fontId="16" fillId="15" borderId="42" xfId="0" applyFont="1" applyFill="1" applyBorder="1" applyAlignment="1">
      <alignment horizontal="left" vertical="top"/>
    </xf>
    <xf numFmtId="0" fontId="16" fillId="15" borderId="36" xfId="0" applyFont="1" applyFill="1" applyBorder="1" applyAlignment="1">
      <alignment horizontal="left" vertical="top" wrapText="1"/>
    </xf>
    <xf numFmtId="0" fontId="16" fillId="15" borderId="37" xfId="0" applyFont="1" applyFill="1" applyBorder="1" applyAlignment="1">
      <alignment horizontal="left" vertical="top" wrapText="1"/>
    </xf>
    <xf numFmtId="0" fontId="16" fillId="15" borderId="36" xfId="0" applyFont="1" applyFill="1" applyBorder="1" applyAlignment="1">
      <alignment horizontal="left" vertical="top"/>
    </xf>
    <xf numFmtId="0" fontId="16" fillId="15" borderId="41" xfId="0" applyFont="1" applyFill="1" applyBorder="1" applyAlignment="1">
      <alignment horizontal="left" vertical="top"/>
    </xf>
    <xf numFmtId="0" fontId="16" fillId="15" borderId="8" xfId="0" applyFont="1" applyFill="1" applyBorder="1" applyAlignment="1">
      <alignment horizontal="left" vertical="top" wrapText="1"/>
    </xf>
    <xf numFmtId="0" fontId="16" fillId="15" borderId="43" xfId="0" applyFont="1" applyFill="1" applyBorder="1" applyAlignment="1">
      <alignment horizontal="left" vertical="top" wrapText="1"/>
    </xf>
    <xf numFmtId="0" fontId="16" fillId="15" borderId="8" xfId="0" applyFont="1" applyFill="1" applyBorder="1" applyAlignment="1">
      <alignment horizontal="left" vertical="top"/>
    </xf>
    <xf numFmtId="0" fontId="0" fillId="15" borderId="1" xfId="0" applyFill="1" applyBorder="1" applyAlignment="1">
      <alignment vertical="top"/>
    </xf>
    <xf numFmtId="0" fontId="2" fillId="15" borderId="1" xfId="0" applyFont="1" applyFill="1" applyBorder="1" applyAlignment="1">
      <alignment horizontal="center" vertical="top"/>
    </xf>
    <xf numFmtId="0" fontId="0" fillId="16" borderId="41" xfId="0" applyFill="1" applyBorder="1" applyAlignment="1">
      <alignment horizontal="left" vertical="top"/>
    </xf>
    <xf numFmtId="0" fontId="0" fillId="16" borderId="8" xfId="0" applyFill="1" applyBorder="1" applyAlignment="1">
      <alignment horizontal="left" vertical="top" wrapText="1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15" borderId="41" xfId="0" applyFill="1" applyBorder="1" applyAlignment="1">
      <alignment horizontal="left" vertical="top"/>
    </xf>
    <xf numFmtId="0" fontId="0" fillId="15" borderId="8" xfId="0" applyFill="1" applyBorder="1" applyAlignment="1">
      <alignment horizontal="left" vertical="top" wrapText="1"/>
    </xf>
    <xf numFmtId="0" fontId="0" fillId="15" borderId="43" xfId="0" applyFill="1" applyBorder="1" applyAlignment="1">
      <alignment horizontal="left" vertical="top" wrapText="1"/>
    </xf>
    <xf numFmtId="3" fontId="0" fillId="17" borderId="0" xfId="0" applyNumberFormat="1" applyFill="1" applyAlignment="1">
      <alignment vertical="center"/>
    </xf>
    <xf numFmtId="3" fontId="0" fillId="17" borderId="0" xfId="0" applyNumberFormat="1" applyFill="1"/>
    <xf numFmtId="3" fontId="0" fillId="2" borderId="38" xfId="0" applyNumberFormat="1" applyFill="1" applyBorder="1" applyAlignment="1">
      <alignment horizontal="right" indent="1"/>
    </xf>
    <xf numFmtId="3" fontId="0" fillId="2" borderId="0" xfId="0" applyNumberFormat="1" applyFill="1" applyAlignment="1">
      <alignment horizontal="right"/>
    </xf>
    <xf numFmtId="3" fontId="0" fillId="2" borderId="0" xfId="0" applyNumberFormat="1" applyFill="1"/>
    <xf numFmtId="0" fontId="1" fillId="4" borderId="0" xfId="0" applyFont="1" applyFill="1" applyAlignment="1">
      <alignment horizontal="center" wrapText="1"/>
    </xf>
    <xf numFmtId="0" fontId="9" fillId="6" borderId="11" xfId="0" applyFont="1" applyFill="1" applyBorder="1" applyAlignment="1" applyProtection="1">
      <alignment horizontal="center"/>
      <protection locked="0"/>
    </xf>
    <xf numFmtId="0" fontId="9" fillId="6" borderId="12" xfId="0" applyFont="1" applyFill="1" applyBorder="1" applyAlignment="1" applyProtection="1">
      <alignment horizontal="center"/>
      <protection locked="0"/>
    </xf>
    <xf numFmtId="0" fontId="8" fillId="8" borderId="32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25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49" fontId="6" fillId="3" borderId="26" xfId="0" applyNumberFormat="1" applyFont="1" applyFill="1" applyBorder="1" applyAlignment="1" applyProtection="1">
      <alignment horizontal="center" wrapText="1"/>
      <protection locked="0"/>
    </xf>
    <xf numFmtId="49" fontId="6" fillId="3" borderId="27" xfId="0" applyNumberFormat="1" applyFont="1" applyFill="1" applyBorder="1" applyAlignment="1" applyProtection="1">
      <alignment horizontal="center" wrapText="1"/>
      <protection locked="0"/>
    </xf>
    <xf numFmtId="49" fontId="6" fillId="3" borderId="44" xfId="0" applyNumberFormat="1" applyFont="1" applyFill="1" applyBorder="1" applyAlignment="1" applyProtection="1">
      <alignment horizontal="center" wrapText="1"/>
      <protection locked="0"/>
    </xf>
    <xf numFmtId="49" fontId="6" fillId="3" borderId="21" xfId="0" applyNumberFormat="1" applyFont="1" applyFill="1" applyBorder="1" applyAlignment="1" applyProtection="1">
      <alignment horizontal="center" wrapText="1"/>
      <protection locked="0"/>
    </xf>
    <xf numFmtId="0" fontId="1" fillId="7" borderId="7" xfId="0" applyFont="1" applyFill="1" applyBorder="1" applyAlignment="1">
      <alignment horizontal="center" vertical="top"/>
    </xf>
    <xf numFmtId="0" fontId="1" fillId="7" borderId="8" xfId="0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DF9F"/>
      <color rgb="FF004F6C"/>
      <color rgb="FF0C5394"/>
      <color rgb="FF0075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142875</xdr:colOff>
      <xdr:row>1</xdr:row>
      <xdr:rowOff>66675</xdr:rowOff>
    </xdr:from>
    <xdr:to>
      <xdr:col>43</xdr:col>
      <xdr:colOff>4858534</xdr:colOff>
      <xdr:row>8</xdr:row>
      <xdr:rowOff>76381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08E8F0-9678-4640-80D0-747429AE6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92200" y="295275"/>
          <a:ext cx="5620534" cy="129558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Milk Glas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FA97-00C6-4539-B273-7BB70CFF7B48}">
  <dimension ref="A1:R103"/>
  <sheetViews>
    <sheetView showGridLines="0" tabSelected="1" workbookViewId="0">
      <pane ySplit="2" topLeftCell="A20" activePane="bottomLeft" state="frozen"/>
      <selection pane="bottomLeft" activeCell="B46" sqref="B46"/>
    </sheetView>
  </sheetViews>
  <sheetFormatPr defaultRowHeight="15" x14ac:dyDescent="0.25"/>
  <cols>
    <col min="1" max="1" width="11" style="4" customWidth="1"/>
    <col min="2" max="2" width="14" style="4" bestFit="1" customWidth="1"/>
    <col min="3" max="3" width="11.5" style="4" bestFit="1" customWidth="1"/>
    <col min="4" max="5" width="9.875" style="2" customWidth="1"/>
    <col min="6" max="6" width="14" style="2" customWidth="1"/>
    <col min="7" max="7" width="9.625" style="2" customWidth="1"/>
    <col min="8" max="8" width="7.25" style="2" bestFit="1" customWidth="1"/>
    <col min="9" max="9" width="14" style="2" customWidth="1"/>
    <col min="10" max="10" width="10.875" style="49" customWidth="1"/>
    <col min="11" max="11" width="8.875" style="20" customWidth="1"/>
    <col min="12" max="12" width="6.375" customWidth="1"/>
    <col min="13" max="13" width="10.875" style="18" customWidth="1"/>
    <col min="14" max="14" width="7.25" style="65" customWidth="1"/>
    <col min="15" max="15" width="10.875" style="2" customWidth="1"/>
    <col min="16" max="16" width="3.125" customWidth="1"/>
  </cols>
  <sheetData>
    <row r="1" spans="1:18" ht="20.25" customHeight="1" thickTop="1" thickBot="1" x14ac:dyDescent="0.35">
      <c r="A1" s="133" t="s">
        <v>218</v>
      </c>
      <c r="B1" s="134"/>
      <c r="C1" s="134"/>
      <c r="D1" s="139" t="s">
        <v>175</v>
      </c>
      <c r="E1" s="140"/>
      <c r="F1" s="141" t="s">
        <v>190</v>
      </c>
      <c r="G1" s="143" t="s">
        <v>174</v>
      </c>
      <c r="H1" s="144"/>
      <c r="I1" s="23" t="s">
        <v>184</v>
      </c>
      <c r="J1" s="135" t="s">
        <v>185</v>
      </c>
      <c r="K1" s="136"/>
      <c r="L1" s="137"/>
      <c r="M1" s="138"/>
      <c r="N1" s="64"/>
      <c r="O1" s="16">
        <v>2025</v>
      </c>
    </row>
    <row r="2" spans="1:18" s="1" customFormat="1" ht="30.75" customHeight="1" thickTop="1" thickBot="1" x14ac:dyDescent="0.3">
      <c r="A2" s="89" t="s">
        <v>176</v>
      </c>
      <c r="B2" s="89" t="s">
        <v>177</v>
      </c>
      <c r="C2" s="90" t="s">
        <v>178</v>
      </c>
      <c r="D2" s="9" t="s">
        <v>292</v>
      </c>
      <c r="E2" s="10" t="s">
        <v>293</v>
      </c>
      <c r="F2" s="142"/>
      <c r="G2" s="104" t="s">
        <v>192</v>
      </c>
      <c r="H2" s="107" t="s">
        <v>306</v>
      </c>
      <c r="I2" s="25" t="s">
        <v>188</v>
      </c>
      <c r="J2" s="26" t="s">
        <v>188</v>
      </c>
      <c r="K2" s="28" t="s">
        <v>194</v>
      </c>
      <c r="L2" s="27" t="s">
        <v>193</v>
      </c>
      <c r="M2" s="66" t="s">
        <v>187</v>
      </c>
      <c r="N2" s="68" t="s">
        <v>195</v>
      </c>
      <c r="O2" s="15" t="s">
        <v>189</v>
      </c>
      <c r="Q2" s="132" t="s">
        <v>175</v>
      </c>
      <c r="R2" s="132"/>
    </row>
    <row r="3" spans="1:18" s="3" customFormat="1" ht="16.5" thickTop="1" thickBot="1" x14ac:dyDescent="0.3">
      <c r="A3" s="7" t="s">
        <v>0</v>
      </c>
      <c r="B3" s="7" t="s">
        <v>1</v>
      </c>
      <c r="C3" s="8" t="s">
        <v>2</v>
      </c>
      <c r="D3" s="76" t="str">
        <f>IF(AND(F3&gt;9, G3&gt;11),"ELIGIBLE","")</f>
        <v>ELIGIBLE</v>
      </c>
      <c r="E3" s="77" t="str">
        <f>IF(AND(F3&gt;14, G3&gt;29),"ELIGIBLE","")</f>
        <v/>
      </c>
      <c r="F3" s="11">
        <f t="shared" ref="F3:F34" si="0">SUM($O$1-O3)</f>
        <v>11</v>
      </c>
      <c r="G3" s="105">
        <f>SUM(I3+J3+K3+N3)</f>
        <v>19</v>
      </c>
      <c r="H3" s="108">
        <f>SUM(G3/F3)</f>
        <v>1.7272727272727273</v>
      </c>
      <c r="I3" s="75">
        <f>TimAbeytaMEMB</f>
        <v>8</v>
      </c>
      <c r="J3" s="48">
        <f>TimAbeytaEVENT</f>
        <v>5</v>
      </c>
      <c r="K3" s="22">
        <f t="shared" ref="K3:K34" si="1">ROUNDDOWN(L3,0)</f>
        <v>3</v>
      </c>
      <c r="L3" s="24">
        <f t="shared" ref="L3:L34" si="2">SUM(M3/15000)</f>
        <v>3.1036666666666668</v>
      </c>
      <c r="M3" s="67">
        <f>TimAbeytaSALES</f>
        <v>46555</v>
      </c>
      <c r="N3" s="69">
        <v>3</v>
      </c>
      <c r="O3" s="13">
        <v>2014</v>
      </c>
      <c r="Q3" s="122" t="s">
        <v>179</v>
      </c>
      <c r="R3" s="123">
        <f>COUNTIF(D3:D202,"ELIGIBLE")</f>
        <v>22</v>
      </c>
    </row>
    <row r="4" spans="1:18" s="3" customFormat="1" ht="15.75" thickBot="1" x14ac:dyDescent="0.3">
      <c r="A4" s="5" t="s">
        <v>0</v>
      </c>
      <c r="B4" s="5" t="s">
        <v>6</v>
      </c>
      <c r="C4" s="6" t="s">
        <v>7</v>
      </c>
      <c r="D4" s="76" t="str">
        <f t="shared" ref="D4:D67" si="3">IF(AND(F4&gt;9, G4&gt;11),"ELIGIBLE","")</f>
        <v>ELIGIBLE</v>
      </c>
      <c r="E4" s="78" t="str">
        <f t="shared" ref="E4:E67" si="4">IF(AND(F4&gt;14, G4&gt;29),"ELIGIBLE","")</f>
        <v/>
      </c>
      <c r="F4" s="11">
        <f t="shared" si="0"/>
        <v>11</v>
      </c>
      <c r="G4" s="106">
        <f t="shared" ref="G4:G66" si="5">SUM(I4+J4+K4+N4)</f>
        <v>34</v>
      </c>
      <c r="H4" s="109">
        <f t="shared" ref="H4:H67" si="6">SUM(G4/F4)</f>
        <v>3.0909090909090908</v>
      </c>
      <c r="I4" s="75">
        <f>GregAmadoMEMB</f>
        <v>30</v>
      </c>
      <c r="J4" s="48">
        <f>GregAmadoEVENT</f>
        <v>0</v>
      </c>
      <c r="K4" s="22">
        <f t="shared" si="1"/>
        <v>1</v>
      </c>
      <c r="L4" s="21">
        <f t="shared" si="2"/>
        <v>1.2656666666666667</v>
      </c>
      <c r="M4" s="67">
        <f>GregAmadoSALES</f>
        <v>18985</v>
      </c>
      <c r="N4" s="69">
        <v>3</v>
      </c>
      <c r="O4" s="14">
        <v>2014</v>
      </c>
      <c r="Q4" s="122" t="s">
        <v>180</v>
      </c>
      <c r="R4" s="123">
        <f>COUNTIF(E4:E203,"ELIGIBLE")</f>
        <v>2</v>
      </c>
    </row>
    <row r="5" spans="1:18" s="3" customFormat="1" ht="15.75" thickBot="1" x14ac:dyDescent="0.3">
      <c r="A5" s="5" t="s">
        <v>0</v>
      </c>
      <c r="B5" s="5" t="s">
        <v>10</v>
      </c>
      <c r="C5" s="6" t="s">
        <v>11</v>
      </c>
      <c r="D5" s="76" t="str">
        <f t="shared" si="3"/>
        <v/>
      </c>
      <c r="E5" s="78" t="str">
        <f t="shared" si="4"/>
        <v/>
      </c>
      <c r="F5" s="12">
        <f t="shared" si="0"/>
        <v>2</v>
      </c>
      <c r="G5" s="106">
        <f t="shared" si="5"/>
        <v>2</v>
      </c>
      <c r="H5" s="109">
        <f t="shared" si="6"/>
        <v>1</v>
      </c>
      <c r="I5" s="75">
        <f>ScottBaderMEMB</f>
        <v>1</v>
      </c>
      <c r="J5" s="48">
        <f>ScottBaderEVENT</f>
        <v>0</v>
      </c>
      <c r="K5" s="22">
        <f t="shared" si="1"/>
        <v>1</v>
      </c>
      <c r="L5" s="21">
        <f t="shared" si="2"/>
        <v>1.0946666666666667</v>
      </c>
      <c r="M5" s="67">
        <f>ScottBaderSALES</f>
        <v>16420</v>
      </c>
      <c r="N5" s="70">
        <v>0</v>
      </c>
      <c r="O5" s="14">
        <v>2023</v>
      </c>
    </row>
    <row r="6" spans="1:18" s="3" customFormat="1" ht="15.75" thickBot="1" x14ac:dyDescent="0.3">
      <c r="A6" s="5" t="s">
        <v>0</v>
      </c>
      <c r="B6" s="5" t="s">
        <v>12</v>
      </c>
      <c r="C6" s="6" t="s">
        <v>13</v>
      </c>
      <c r="D6" s="76" t="str">
        <f t="shared" si="3"/>
        <v>ELIGIBLE</v>
      </c>
      <c r="E6" s="78" t="str">
        <f t="shared" si="4"/>
        <v/>
      </c>
      <c r="F6" s="12">
        <f t="shared" si="0"/>
        <v>14</v>
      </c>
      <c r="G6" s="106">
        <f>SUM(I6+J6+K6+N6)</f>
        <v>17</v>
      </c>
      <c r="H6" s="109">
        <f t="shared" si="6"/>
        <v>1.2142857142857142</v>
      </c>
      <c r="I6" s="75">
        <f>LarryBailliereMEMB</f>
        <v>8</v>
      </c>
      <c r="J6" s="48">
        <f>LarryBailliereEVENT</f>
        <v>1</v>
      </c>
      <c r="K6" s="22">
        <f t="shared" si="1"/>
        <v>1</v>
      </c>
      <c r="L6" s="21">
        <f t="shared" si="2"/>
        <v>1.2516666666666667</v>
      </c>
      <c r="M6" s="67">
        <f>LarryBailliereSALES</f>
        <v>18775</v>
      </c>
      <c r="N6" s="69">
        <v>7</v>
      </c>
      <c r="O6" s="14">
        <v>2011</v>
      </c>
    </row>
    <row r="7" spans="1:18" s="3" customFormat="1" ht="15.75" thickBot="1" x14ac:dyDescent="0.3">
      <c r="A7" s="5" t="s">
        <v>0</v>
      </c>
      <c r="B7" s="5" t="s">
        <v>14</v>
      </c>
      <c r="C7" s="6" t="s">
        <v>15</v>
      </c>
      <c r="D7" s="76" t="str">
        <f t="shared" si="3"/>
        <v>ELIGIBLE</v>
      </c>
      <c r="E7" s="78" t="str">
        <f t="shared" si="4"/>
        <v/>
      </c>
      <c r="F7" s="12">
        <f t="shared" si="0"/>
        <v>11</v>
      </c>
      <c r="G7" s="106">
        <f t="shared" si="5"/>
        <v>54</v>
      </c>
      <c r="H7" s="109">
        <f t="shared" si="6"/>
        <v>4.9090909090909092</v>
      </c>
      <c r="I7" s="75">
        <f>KevinBedientMEMB</f>
        <v>27</v>
      </c>
      <c r="J7" s="48">
        <f>KevinBedientEVENT</f>
        <v>15</v>
      </c>
      <c r="K7" s="22">
        <f t="shared" si="1"/>
        <v>7</v>
      </c>
      <c r="L7" s="21">
        <f t="shared" si="2"/>
        <v>7.1256666666666666</v>
      </c>
      <c r="M7" s="67">
        <f>KevinBedientSALES</f>
        <v>106885</v>
      </c>
      <c r="N7" s="69">
        <v>5</v>
      </c>
      <c r="O7" s="14">
        <v>2014</v>
      </c>
    </row>
    <row r="8" spans="1:18" s="3" customFormat="1" ht="15.75" thickBot="1" x14ac:dyDescent="0.3">
      <c r="A8" s="5" t="s">
        <v>0</v>
      </c>
      <c r="B8" s="5" t="s">
        <v>16</v>
      </c>
      <c r="C8" s="6" t="s">
        <v>17</v>
      </c>
      <c r="D8" s="76" t="str">
        <f t="shared" si="3"/>
        <v/>
      </c>
      <c r="E8" s="78" t="str">
        <f t="shared" si="4"/>
        <v/>
      </c>
      <c r="F8" s="12">
        <f t="shared" si="0"/>
        <v>4</v>
      </c>
      <c r="G8" s="106">
        <f t="shared" si="5"/>
        <v>8</v>
      </c>
      <c r="H8" s="109">
        <f t="shared" si="6"/>
        <v>2</v>
      </c>
      <c r="I8" s="75">
        <f>AdamBegodyMEMB</f>
        <v>7</v>
      </c>
      <c r="J8" s="48">
        <f>AdamBegodyEVENT</f>
        <v>0</v>
      </c>
      <c r="K8" s="22">
        <f t="shared" si="1"/>
        <v>1</v>
      </c>
      <c r="L8" s="21">
        <f t="shared" si="2"/>
        <v>1.1830000000000001</v>
      </c>
      <c r="M8" s="67">
        <f>AdamBegodySALES</f>
        <v>17745</v>
      </c>
      <c r="N8" s="69">
        <v>0</v>
      </c>
      <c r="O8" s="14">
        <v>2021</v>
      </c>
    </row>
    <row r="9" spans="1:18" s="3" customFormat="1" ht="15.75" thickBot="1" x14ac:dyDescent="0.3">
      <c r="A9" s="5" t="s">
        <v>0</v>
      </c>
      <c r="B9" s="5" t="s">
        <v>19</v>
      </c>
      <c r="C9" s="6" t="s">
        <v>20</v>
      </c>
      <c r="D9" s="76" t="str">
        <f t="shared" si="3"/>
        <v/>
      </c>
      <c r="E9" s="78" t="str">
        <f t="shared" si="4"/>
        <v/>
      </c>
      <c r="F9" s="12">
        <f t="shared" si="0"/>
        <v>5</v>
      </c>
      <c r="G9" s="106">
        <f t="shared" si="5"/>
        <v>7</v>
      </c>
      <c r="H9" s="109">
        <f t="shared" si="6"/>
        <v>1.4</v>
      </c>
      <c r="I9" s="75">
        <f>ChrisBrewsterMEMB</f>
        <v>5</v>
      </c>
      <c r="J9" s="48">
        <f>ChrisBrewsterEVENT</f>
        <v>0</v>
      </c>
      <c r="K9" s="22">
        <f t="shared" si="1"/>
        <v>2</v>
      </c>
      <c r="L9" s="21">
        <f t="shared" si="2"/>
        <v>2.3773333333333335</v>
      </c>
      <c r="M9" s="67">
        <f>ChrisBrewsterSALES</f>
        <v>35660</v>
      </c>
      <c r="N9" s="69">
        <v>0</v>
      </c>
      <c r="O9" s="14">
        <v>2020</v>
      </c>
    </row>
    <row r="10" spans="1:18" s="3" customFormat="1" ht="15.75" thickBot="1" x14ac:dyDescent="0.3">
      <c r="A10" s="5" t="s">
        <v>0</v>
      </c>
      <c r="B10" s="5" t="s">
        <v>21</v>
      </c>
      <c r="C10" s="6" t="s">
        <v>22</v>
      </c>
      <c r="D10" s="76" t="str">
        <f t="shared" si="3"/>
        <v>ELIGIBLE</v>
      </c>
      <c r="E10" s="78" t="str">
        <f t="shared" si="4"/>
        <v/>
      </c>
      <c r="F10" s="12">
        <f t="shared" si="0"/>
        <v>13</v>
      </c>
      <c r="G10" s="106">
        <f t="shared" si="5"/>
        <v>38</v>
      </c>
      <c r="H10" s="109">
        <f t="shared" si="6"/>
        <v>2.9230769230769229</v>
      </c>
      <c r="I10" s="75">
        <f>AndyBrownMEMB</f>
        <v>23</v>
      </c>
      <c r="J10" s="48">
        <f>AndyBrownEVENT</f>
        <v>3</v>
      </c>
      <c r="K10" s="22">
        <f t="shared" si="1"/>
        <v>5</v>
      </c>
      <c r="L10" s="21">
        <f t="shared" si="2"/>
        <v>5.4169999999999998</v>
      </c>
      <c r="M10" s="67">
        <f>AndyBrownSALES</f>
        <v>81255</v>
      </c>
      <c r="N10" s="69">
        <v>7</v>
      </c>
      <c r="O10" s="14">
        <v>2012</v>
      </c>
    </row>
    <row r="11" spans="1:18" s="3" customFormat="1" ht="15.75" thickBot="1" x14ac:dyDescent="0.3">
      <c r="A11" s="5" t="s">
        <v>0</v>
      </c>
      <c r="B11" s="5" t="s">
        <v>24</v>
      </c>
      <c r="C11" s="6" t="s">
        <v>25</v>
      </c>
      <c r="D11" s="76" t="str">
        <f t="shared" si="3"/>
        <v/>
      </c>
      <c r="E11" s="78" t="str">
        <f t="shared" si="4"/>
        <v/>
      </c>
      <c r="F11" s="12">
        <f t="shared" si="0"/>
        <v>1</v>
      </c>
      <c r="G11" s="106">
        <f t="shared" si="5"/>
        <v>1</v>
      </c>
      <c r="H11" s="109">
        <f t="shared" si="6"/>
        <v>1</v>
      </c>
      <c r="I11" s="75">
        <f>BrianBurnettMEMB</f>
        <v>1</v>
      </c>
      <c r="J11" s="48">
        <f>BrianBurnettEVENT</f>
        <v>0</v>
      </c>
      <c r="K11" s="22">
        <f t="shared" si="1"/>
        <v>0</v>
      </c>
      <c r="L11" s="21">
        <f t="shared" si="2"/>
        <v>0.3</v>
      </c>
      <c r="M11" s="67">
        <f>BrianBurnettSALES</f>
        <v>4500</v>
      </c>
      <c r="N11" s="69">
        <v>0</v>
      </c>
      <c r="O11" s="14">
        <v>2024</v>
      </c>
    </row>
    <row r="12" spans="1:18" s="3" customFormat="1" ht="15.75" thickBot="1" x14ac:dyDescent="0.3">
      <c r="A12" s="5" t="s">
        <v>0</v>
      </c>
      <c r="B12" s="5" t="s">
        <v>26</v>
      </c>
      <c r="C12" s="6" t="s">
        <v>8</v>
      </c>
      <c r="D12" s="76" t="str">
        <f t="shared" si="3"/>
        <v>ELIGIBLE</v>
      </c>
      <c r="E12" s="78" t="str">
        <f t="shared" si="4"/>
        <v/>
      </c>
      <c r="F12" s="12">
        <f t="shared" si="0"/>
        <v>15</v>
      </c>
      <c r="G12" s="106">
        <f t="shared" si="5"/>
        <v>21</v>
      </c>
      <c r="H12" s="109">
        <f t="shared" si="6"/>
        <v>1.4</v>
      </c>
      <c r="I12" s="75">
        <f>DennisCaldwellMEMB</f>
        <v>8</v>
      </c>
      <c r="J12" s="48">
        <f>DennisCaldwellEVENT</f>
        <v>1</v>
      </c>
      <c r="K12" s="22">
        <f t="shared" si="1"/>
        <v>1</v>
      </c>
      <c r="L12" s="21">
        <f t="shared" si="2"/>
        <v>1.8533333333333333</v>
      </c>
      <c r="M12" s="67">
        <f>DennisCaldwellSALES</f>
        <v>27800</v>
      </c>
      <c r="N12" s="69">
        <v>11</v>
      </c>
      <c r="O12" s="14">
        <v>2010</v>
      </c>
    </row>
    <row r="13" spans="1:18" ht="15.75" thickBot="1" x14ac:dyDescent="0.3">
      <c r="A13" s="5" t="s">
        <v>0</v>
      </c>
      <c r="B13" s="5" t="s">
        <v>27</v>
      </c>
      <c r="C13" s="6" t="s">
        <v>28</v>
      </c>
      <c r="D13" s="76" t="str">
        <f t="shared" si="3"/>
        <v/>
      </c>
      <c r="E13" s="78" t="str">
        <f t="shared" si="4"/>
        <v/>
      </c>
      <c r="F13" s="12">
        <f t="shared" si="0"/>
        <v>8</v>
      </c>
      <c r="G13" s="106">
        <f t="shared" si="5"/>
        <v>15</v>
      </c>
      <c r="H13" s="109">
        <f t="shared" si="6"/>
        <v>1.875</v>
      </c>
      <c r="I13" s="75">
        <f>ChadCarneyMEMB</f>
        <v>10</v>
      </c>
      <c r="J13" s="48">
        <f>ChadCarneyEVENT</f>
        <v>3</v>
      </c>
      <c r="K13" s="22">
        <f t="shared" si="1"/>
        <v>2</v>
      </c>
      <c r="L13" s="21">
        <f t="shared" si="2"/>
        <v>2.5266666666666668</v>
      </c>
      <c r="M13" s="67">
        <f>ChadCarneySALES</f>
        <v>37900</v>
      </c>
      <c r="N13" s="69">
        <v>0</v>
      </c>
      <c r="O13" s="14">
        <v>2017</v>
      </c>
    </row>
    <row r="14" spans="1:18" ht="15.75" thickBot="1" x14ac:dyDescent="0.3">
      <c r="A14" s="5" t="s">
        <v>0</v>
      </c>
      <c r="B14" s="5" t="s">
        <v>32</v>
      </c>
      <c r="C14" s="6" t="s">
        <v>18</v>
      </c>
      <c r="D14" s="76" t="str">
        <f t="shared" si="3"/>
        <v/>
      </c>
      <c r="E14" s="78" t="str">
        <f t="shared" si="4"/>
        <v/>
      </c>
      <c r="F14" s="12">
        <f t="shared" si="0"/>
        <v>5</v>
      </c>
      <c r="G14" s="106">
        <f t="shared" si="5"/>
        <v>27</v>
      </c>
      <c r="H14" s="109">
        <f t="shared" si="6"/>
        <v>5.4</v>
      </c>
      <c r="I14" s="75">
        <f>MikeCenskyMEMB</f>
        <v>5</v>
      </c>
      <c r="J14" s="48">
        <f>MikeCenskyEVENT</f>
        <v>1</v>
      </c>
      <c r="K14" s="22">
        <f t="shared" si="1"/>
        <v>21</v>
      </c>
      <c r="L14" s="21">
        <f t="shared" si="2"/>
        <v>21.984999999999999</v>
      </c>
      <c r="M14" s="67">
        <f>MikeCenskySALES</f>
        <v>329775</v>
      </c>
      <c r="N14" s="69">
        <v>0</v>
      </c>
      <c r="O14" s="14">
        <v>2020</v>
      </c>
    </row>
    <row r="15" spans="1:18" ht="15.75" thickBot="1" x14ac:dyDescent="0.3">
      <c r="A15" s="5" t="s">
        <v>0</v>
      </c>
      <c r="B15" s="5" t="s">
        <v>33</v>
      </c>
      <c r="C15" s="6" t="s">
        <v>17</v>
      </c>
      <c r="D15" s="76" t="str">
        <f t="shared" si="3"/>
        <v/>
      </c>
      <c r="E15" s="78" t="str">
        <f t="shared" si="4"/>
        <v/>
      </c>
      <c r="F15" s="12">
        <f t="shared" si="0"/>
        <v>5</v>
      </c>
      <c r="G15" s="106">
        <f t="shared" si="5"/>
        <v>8</v>
      </c>
      <c r="H15" s="109">
        <f t="shared" si="6"/>
        <v>1.6</v>
      </c>
      <c r="I15" s="75">
        <f>AdamChurchillMEMB</f>
        <v>5</v>
      </c>
      <c r="J15" s="48">
        <f>AdamChurchillEVENT</f>
        <v>3</v>
      </c>
      <c r="K15" s="22">
        <f t="shared" si="1"/>
        <v>0</v>
      </c>
      <c r="L15" s="21">
        <f t="shared" si="2"/>
        <v>0.86833333333333329</v>
      </c>
      <c r="M15" s="67">
        <f>AdamChurchillSALES</f>
        <v>13025</v>
      </c>
      <c r="N15" s="69">
        <v>0</v>
      </c>
      <c r="O15" s="14">
        <v>2020</v>
      </c>
    </row>
    <row r="16" spans="1:18" ht="15.75" thickBot="1" x14ac:dyDescent="0.3">
      <c r="A16" s="5" t="s">
        <v>0</v>
      </c>
      <c r="B16" s="5" t="s">
        <v>34</v>
      </c>
      <c r="C16" s="6" t="s">
        <v>35</v>
      </c>
      <c r="D16" s="76" t="str">
        <f t="shared" si="3"/>
        <v>ELIGIBLE</v>
      </c>
      <c r="E16" s="78" t="str">
        <f t="shared" si="4"/>
        <v/>
      </c>
      <c r="F16" s="12">
        <f>SUM($O$1-O16)</f>
        <v>12</v>
      </c>
      <c r="G16" s="106">
        <f t="shared" si="5"/>
        <v>18</v>
      </c>
      <c r="H16" s="109">
        <f t="shared" si="6"/>
        <v>1.5</v>
      </c>
      <c r="I16" s="75">
        <f>AndrewClarkMEMB</f>
        <v>8</v>
      </c>
      <c r="J16" s="48">
        <f>AndrewClarkEVENT</f>
        <v>5</v>
      </c>
      <c r="K16" s="22">
        <f t="shared" si="1"/>
        <v>1</v>
      </c>
      <c r="L16" s="21">
        <f t="shared" si="2"/>
        <v>1.0733333333333333</v>
      </c>
      <c r="M16" s="67">
        <f>AndrewClarkSALES</f>
        <v>16100</v>
      </c>
      <c r="N16" s="69">
        <v>4</v>
      </c>
      <c r="O16" s="14">
        <v>2013</v>
      </c>
    </row>
    <row r="17" spans="1:15" ht="15.75" thickBot="1" x14ac:dyDescent="0.3">
      <c r="A17" s="5" t="s">
        <v>0</v>
      </c>
      <c r="B17" s="5" t="s">
        <v>36</v>
      </c>
      <c r="C17" s="6" t="s">
        <v>37</v>
      </c>
      <c r="D17" s="76" t="str">
        <f t="shared" si="3"/>
        <v/>
      </c>
      <c r="E17" s="78" t="str">
        <f t="shared" si="4"/>
        <v/>
      </c>
      <c r="F17" s="12">
        <f t="shared" si="0"/>
        <v>5</v>
      </c>
      <c r="G17" s="106">
        <f t="shared" si="5"/>
        <v>16</v>
      </c>
      <c r="H17" s="109">
        <f t="shared" si="6"/>
        <v>3.2</v>
      </c>
      <c r="I17" s="75">
        <f>PatCocoMEMB</f>
        <v>5</v>
      </c>
      <c r="J17" s="48">
        <f>PatCocoEVENT</f>
        <v>1</v>
      </c>
      <c r="K17" s="22">
        <f t="shared" si="1"/>
        <v>0</v>
      </c>
      <c r="L17" s="21">
        <f t="shared" si="2"/>
        <v>0.90433333333333332</v>
      </c>
      <c r="M17" s="67">
        <f>PatCocoSALES</f>
        <v>13565</v>
      </c>
      <c r="N17" s="69">
        <v>10</v>
      </c>
      <c r="O17" s="14">
        <v>2020</v>
      </c>
    </row>
    <row r="18" spans="1:15" ht="15.75" thickBot="1" x14ac:dyDescent="0.3">
      <c r="A18" s="5" t="s">
        <v>0</v>
      </c>
      <c r="B18" s="5" t="s">
        <v>38</v>
      </c>
      <c r="C18" s="6" t="s">
        <v>20</v>
      </c>
      <c r="D18" s="76" t="str">
        <f t="shared" si="3"/>
        <v/>
      </c>
      <c r="E18" s="78" t="str">
        <f t="shared" si="4"/>
        <v/>
      </c>
      <c r="F18" s="12">
        <f t="shared" si="0"/>
        <v>7</v>
      </c>
      <c r="G18" s="106">
        <f t="shared" si="5"/>
        <v>13</v>
      </c>
      <c r="H18" s="109">
        <f t="shared" si="6"/>
        <v>1.8571428571428572</v>
      </c>
      <c r="I18" s="75">
        <f>ChrisCohenMEMB</f>
        <v>7</v>
      </c>
      <c r="J18" s="48">
        <f>ChrisCohenEVENT</f>
        <v>3</v>
      </c>
      <c r="K18" s="22">
        <f t="shared" si="1"/>
        <v>3</v>
      </c>
      <c r="L18" s="21">
        <f t="shared" si="2"/>
        <v>3.0640000000000001</v>
      </c>
      <c r="M18" s="67">
        <f>ChrisCohenSALES</f>
        <v>45960</v>
      </c>
      <c r="N18" s="69">
        <v>0</v>
      </c>
      <c r="O18" s="14">
        <v>2018</v>
      </c>
    </row>
    <row r="19" spans="1:15" ht="15.75" thickBot="1" x14ac:dyDescent="0.3">
      <c r="A19" s="5" t="s">
        <v>0</v>
      </c>
      <c r="B19" s="5" t="s">
        <v>39</v>
      </c>
      <c r="C19" s="6" t="s">
        <v>40</v>
      </c>
      <c r="D19" s="76" t="str">
        <f t="shared" si="3"/>
        <v>ELIGIBLE</v>
      </c>
      <c r="E19" s="78" t="str">
        <f t="shared" si="4"/>
        <v>ELIGIBLE</v>
      </c>
      <c r="F19" s="12">
        <f t="shared" si="0"/>
        <v>15</v>
      </c>
      <c r="G19" s="106">
        <f t="shared" si="5"/>
        <v>46</v>
      </c>
      <c r="H19" s="109">
        <f t="shared" si="6"/>
        <v>3.0666666666666669</v>
      </c>
      <c r="I19" s="75">
        <f>DonColemanMEMB</f>
        <v>27</v>
      </c>
      <c r="J19" s="48">
        <f>DonColemanEVENT</f>
        <v>4</v>
      </c>
      <c r="K19" s="22">
        <f t="shared" si="1"/>
        <v>3</v>
      </c>
      <c r="L19" s="21">
        <f t="shared" si="2"/>
        <v>3.5803333333333334</v>
      </c>
      <c r="M19" s="67">
        <f>DonColemanSALES</f>
        <v>53705</v>
      </c>
      <c r="N19" s="69">
        <v>12</v>
      </c>
      <c r="O19" s="14">
        <v>2010</v>
      </c>
    </row>
    <row r="20" spans="1:15" ht="15.75" thickBot="1" x14ac:dyDescent="0.3">
      <c r="A20" s="5" t="s">
        <v>0</v>
      </c>
      <c r="B20" s="5" t="s">
        <v>41</v>
      </c>
      <c r="C20" s="6" t="s">
        <v>25</v>
      </c>
      <c r="D20" s="76" t="str">
        <f t="shared" si="3"/>
        <v/>
      </c>
      <c r="E20" s="78" t="str">
        <f t="shared" si="4"/>
        <v/>
      </c>
      <c r="F20" s="12">
        <f t="shared" si="0"/>
        <v>6</v>
      </c>
      <c r="G20" s="106">
        <f t="shared" si="5"/>
        <v>15</v>
      </c>
      <c r="H20" s="109">
        <f t="shared" si="6"/>
        <v>2.5</v>
      </c>
      <c r="I20" s="75">
        <f>BrianCrowleyMEMB</f>
        <v>8</v>
      </c>
      <c r="J20" s="48">
        <f>BrianCrowleyEVENT</f>
        <v>5</v>
      </c>
      <c r="K20" s="22">
        <f t="shared" si="1"/>
        <v>2</v>
      </c>
      <c r="L20" s="21">
        <f t="shared" si="2"/>
        <v>2.7003333333333335</v>
      </c>
      <c r="M20" s="67">
        <f>BrianCrowleySALES</f>
        <v>40505</v>
      </c>
      <c r="N20" s="69">
        <v>0</v>
      </c>
      <c r="O20" s="14">
        <v>2019</v>
      </c>
    </row>
    <row r="21" spans="1:15" ht="15.75" thickBot="1" x14ac:dyDescent="0.3">
      <c r="A21" s="5" t="s">
        <v>0</v>
      </c>
      <c r="B21" s="5" t="s">
        <v>44</v>
      </c>
      <c r="C21" s="6" t="s">
        <v>45</v>
      </c>
      <c r="D21" s="76" t="str">
        <f t="shared" si="3"/>
        <v>ELIGIBLE</v>
      </c>
      <c r="E21" s="78" t="str">
        <f t="shared" si="4"/>
        <v/>
      </c>
      <c r="F21" s="12">
        <f t="shared" si="0"/>
        <v>19</v>
      </c>
      <c r="G21" s="106">
        <f t="shared" si="5"/>
        <v>29</v>
      </c>
      <c r="H21" s="109">
        <f t="shared" si="6"/>
        <v>1.5263157894736843</v>
      </c>
      <c r="I21" s="75">
        <f>DeronDavenportMEMB</f>
        <v>11</v>
      </c>
      <c r="J21" s="48">
        <f>DeronDavenportEVENT</f>
        <v>5</v>
      </c>
      <c r="K21" s="22">
        <f t="shared" si="1"/>
        <v>1</v>
      </c>
      <c r="L21" s="21">
        <f t="shared" si="2"/>
        <v>1.4793333333333334</v>
      </c>
      <c r="M21" s="67">
        <f>DeronDavenportSALES</f>
        <v>22190</v>
      </c>
      <c r="N21" s="69">
        <v>12</v>
      </c>
      <c r="O21" s="14">
        <v>2006</v>
      </c>
    </row>
    <row r="22" spans="1:15" ht="15.75" thickBot="1" x14ac:dyDescent="0.3">
      <c r="A22" s="5" t="s">
        <v>0</v>
      </c>
      <c r="B22" s="5" t="s">
        <v>46</v>
      </c>
      <c r="C22" s="6" t="s">
        <v>17</v>
      </c>
      <c r="D22" s="76" t="str">
        <f t="shared" si="3"/>
        <v/>
      </c>
      <c r="E22" s="78" t="str">
        <f t="shared" si="4"/>
        <v/>
      </c>
      <c r="F22" s="12">
        <f t="shared" si="0"/>
        <v>9</v>
      </c>
      <c r="G22" s="106">
        <f t="shared" si="5"/>
        <v>18</v>
      </c>
      <c r="H22" s="109">
        <f t="shared" si="6"/>
        <v>2</v>
      </c>
      <c r="I22" s="75">
        <f>AdamDellosMEMB</f>
        <v>9</v>
      </c>
      <c r="J22" s="48">
        <f>AdamDellosEVENT</f>
        <v>7</v>
      </c>
      <c r="K22" s="22">
        <f t="shared" si="1"/>
        <v>1</v>
      </c>
      <c r="L22" s="21">
        <f t="shared" si="2"/>
        <v>1.3373333333333333</v>
      </c>
      <c r="M22" s="67">
        <f>AdamDellosSALES</f>
        <v>20060</v>
      </c>
      <c r="N22" s="69">
        <v>1</v>
      </c>
      <c r="O22" s="14">
        <v>2016</v>
      </c>
    </row>
    <row r="23" spans="1:15" ht="15.75" thickBot="1" x14ac:dyDescent="0.3">
      <c r="A23" s="5" t="s">
        <v>0</v>
      </c>
      <c r="B23" s="5" t="s">
        <v>47</v>
      </c>
      <c r="C23" s="6" t="s">
        <v>48</v>
      </c>
      <c r="D23" s="76" t="str">
        <f t="shared" si="3"/>
        <v/>
      </c>
      <c r="E23" s="78" t="str">
        <f t="shared" si="4"/>
        <v/>
      </c>
      <c r="F23" s="12">
        <f t="shared" si="0"/>
        <v>8</v>
      </c>
      <c r="G23" s="106">
        <f t="shared" si="5"/>
        <v>17</v>
      </c>
      <c r="H23" s="109">
        <f t="shared" si="6"/>
        <v>2.125</v>
      </c>
      <c r="I23" s="75">
        <f>DanDolanMEMB</f>
        <v>10</v>
      </c>
      <c r="J23" s="48">
        <f>DanDolanEVENT</f>
        <v>3</v>
      </c>
      <c r="K23" s="22">
        <f t="shared" si="1"/>
        <v>4</v>
      </c>
      <c r="L23" s="21">
        <f t="shared" si="2"/>
        <v>4.4130000000000003</v>
      </c>
      <c r="M23" s="67">
        <f>DanDolanSALES</f>
        <v>66195</v>
      </c>
      <c r="N23" s="69">
        <v>0</v>
      </c>
      <c r="O23" s="14">
        <v>2017</v>
      </c>
    </row>
    <row r="24" spans="1:15" ht="15.75" thickBot="1" x14ac:dyDescent="0.3">
      <c r="A24" s="5" t="s">
        <v>0</v>
      </c>
      <c r="B24" s="5" t="s">
        <v>49</v>
      </c>
      <c r="C24" s="6" t="s">
        <v>50</v>
      </c>
      <c r="D24" s="76" t="str">
        <f t="shared" si="3"/>
        <v/>
      </c>
      <c r="E24" s="78" t="str">
        <f t="shared" si="4"/>
        <v/>
      </c>
      <c r="F24" s="12">
        <f t="shared" si="0"/>
        <v>8</v>
      </c>
      <c r="G24" s="106">
        <f t="shared" si="5"/>
        <v>10</v>
      </c>
      <c r="H24" s="109">
        <f t="shared" si="6"/>
        <v>1.25</v>
      </c>
      <c r="I24" s="75">
        <f>StevenEddyMEMB</f>
        <v>8</v>
      </c>
      <c r="J24" s="48">
        <f>StevenEddyEVENT</f>
        <v>0</v>
      </c>
      <c r="K24" s="22">
        <f t="shared" si="1"/>
        <v>2</v>
      </c>
      <c r="L24" s="21">
        <f t="shared" si="2"/>
        <v>2.3906666666666667</v>
      </c>
      <c r="M24" s="67">
        <f>StevenEddySALES</f>
        <v>35860</v>
      </c>
      <c r="N24" s="69">
        <v>0</v>
      </c>
      <c r="O24" s="14">
        <v>2017</v>
      </c>
    </row>
    <row r="25" spans="1:15" ht="15.75" thickBot="1" x14ac:dyDescent="0.3">
      <c r="A25" s="5" t="s">
        <v>0</v>
      </c>
      <c r="B25" s="5" t="s">
        <v>51</v>
      </c>
      <c r="C25" s="6" t="s">
        <v>52</v>
      </c>
      <c r="D25" s="76" t="str">
        <f t="shared" si="3"/>
        <v>ELIGIBLE</v>
      </c>
      <c r="E25" s="78" t="str">
        <f t="shared" si="4"/>
        <v/>
      </c>
      <c r="F25" s="12">
        <f t="shared" si="0"/>
        <v>11</v>
      </c>
      <c r="G25" s="106">
        <f t="shared" si="5"/>
        <v>16</v>
      </c>
      <c r="H25" s="109">
        <f t="shared" si="6"/>
        <v>1.4545454545454546</v>
      </c>
      <c r="I25" s="75">
        <f>CraigEdwardsMEMB</f>
        <v>8</v>
      </c>
      <c r="J25" s="48">
        <f>CraigEdwardsEVENT</f>
        <v>3</v>
      </c>
      <c r="K25" s="22">
        <f t="shared" si="1"/>
        <v>2</v>
      </c>
      <c r="L25" s="21">
        <f t="shared" si="2"/>
        <v>2.8363333333333332</v>
      </c>
      <c r="M25" s="67">
        <f>CraigEdwardsSALES</f>
        <v>42545</v>
      </c>
      <c r="N25" s="69">
        <v>3</v>
      </c>
      <c r="O25" s="14">
        <v>2014</v>
      </c>
    </row>
    <row r="26" spans="1:15" ht="15.75" thickBot="1" x14ac:dyDescent="0.3">
      <c r="A26" s="5" t="s">
        <v>0</v>
      </c>
      <c r="B26" s="5" t="s">
        <v>54</v>
      </c>
      <c r="C26" s="6" t="s">
        <v>55</v>
      </c>
      <c r="D26" s="76" t="str">
        <f t="shared" si="3"/>
        <v/>
      </c>
      <c r="E26" s="78" t="str">
        <f t="shared" si="4"/>
        <v/>
      </c>
      <c r="F26" s="12">
        <f t="shared" si="0"/>
        <v>9</v>
      </c>
      <c r="G26" s="106">
        <f t="shared" si="5"/>
        <v>15</v>
      </c>
      <c r="H26" s="109">
        <f t="shared" si="6"/>
        <v>1.6666666666666667</v>
      </c>
      <c r="I26" s="75">
        <f>AJEmamiMEMB</f>
        <v>12</v>
      </c>
      <c r="J26" s="48">
        <f>AJEmamiEVENT</f>
        <v>0</v>
      </c>
      <c r="K26" s="22">
        <f t="shared" si="1"/>
        <v>2</v>
      </c>
      <c r="L26" s="21">
        <f t="shared" si="2"/>
        <v>2.3566666666666665</v>
      </c>
      <c r="M26" s="67">
        <f>AJEmamiSALES</f>
        <v>35350</v>
      </c>
      <c r="N26" s="69">
        <v>1</v>
      </c>
      <c r="O26" s="14">
        <v>2016</v>
      </c>
    </row>
    <row r="27" spans="1:15" ht="15.75" thickBot="1" x14ac:dyDescent="0.3">
      <c r="A27" s="5" t="s">
        <v>0</v>
      </c>
      <c r="B27" s="5" t="s">
        <v>56</v>
      </c>
      <c r="C27" s="6" t="s">
        <v>9</v>
      </c>
      <c r="D27" s="76" t="str">
        <f t="shared" si="3"/>
        <v/>
      </c>
      <c r="E27" s="78" t="str">
        <f t="shared" si="4"/>
        <v/>
      </c>
      <c r="F27" s="12">
        <f t="shared" si="0"/>
        <v>7</v>
      </c>
      <c r="G27" s="106">
        <f t="shared" si="5"/>
        <v>14</v>
      </c>
      <c r="H27" s="109">
        <f t="shared" si="6"/>
        <v>2</v>
      </c>
      <c r="I27" s="75">
        <f>BillFetzetMEMB</f>
        <v>9</v>
      </c>
      <c r="J27" s="48">
        <f>BillFetzerEVENT</f>
        <v>3</v>
      </c>
      <c r="K27" s="22">
        <f t="shared" si="1"/>
        <v>2</v>
      </c>
      <c r="L27" s="21">
        <f t="shared" si="2"/>
        <v>2.7410000000000001</v>
      </c>
      <c r="M27" s="67">
        <f>BillFetzerSALES</f>
        <v>41115</v>
      </c>
      <c r="N27" s="69">
        <v>0</v>
      </c>
      <c r="O27" s="14">
        <v>2018</v>
      </c>
    </row>
    <row r="28" spans="1:15" ht="15.75" thickBot="1" x14ac:dyDescent="0.3">
      <c r="A28" s="5" t="s">
        <v>0</v>
      </c>
      <c r="B28" s="5" t="s">
        <v>57</v>
      </c>
      <c r="C28" s="6" t="s">
        <v>186</v>
      </c>
      <c r="D28" s="76" t="str">
        <f t="shared" si="3"/>
        <v/>
      </c>
      <c r="E28" s="78" t="str">
        <f t="shared" si="4"/>
        <v/>
      </c>
      <c r="F28" s="12">
        <f t="shared" si="0"/>
        <v>6</v>
      </c>
      <c r="G28" s="106">
        <f t="shared" si="5"/>
        <v>13</v>
      </c>
      <c r="H28" s="109">
        <f t="shared" si="6"/>
        <v>2.1666666666666665</v>
      </c>
      <c r="I28" s="75">
        <f>IsaacFigueroaMEMB</f>
        <v>6</v>
      </c>
      <c r="J28" s="48">
        <f>IsaacFigueroaEVENT</f>
        <v>0</v>
      </c>
      <c r="K28" s="22">
        <f t="shared" si="1"/>
        <v>7</v>
      </c>
      <c r="L28" s="21">
        <f t="shared" si="2"/>
        <v>7.1026666666666669</v>
      </c>
      <c r="M28" s="67">
        <f>IsaacFigueroaSALES</f>
        <v>106540</v>
      </c>
      <c r="N28" s="69">
        <v>0</v>
      </c>
      <c r="O28" s="14">
        <v>2019</v>
      </c>
    </row>
    <row r="29" spans="1:15" ht="15.75" thickBot="1" x14ac:dyDescent="0.3">
      <c r="A29" s="5" t="s">
        <v>0</v>
      </c>
      <c r="B29" s="5" t="s">
        <v>59</v>
      </c>
      <c r="C29" s="6" t="s">
        <v>60</v>
      </c>
      <c r="D29" s="76" t="str">
        <f t="shared" si="3"/>
        <v/>
      </c>
      <c r="E29" s="78" t="str">
        <f t="shared" si="4"/>
        <v/>
      </c>
      <c r="F29" s="12">
        <f t="shared" si="0"/>
        <v>1</v>
      </c>
      <c r="G29" s="106">
        <f t="shared" si="5"/>
        <v>3</v>
      </c>
      <c r="H29" s="109">
        <f t="shared" si="6"/>
        <v>3</v>
      </c>
      <c r="I29" s="75">
        <f>BryanFoersterMEMB</f>
        <v>2</v>
      </c>
      <c r="J29" s="48">
        <f>BryanFoersterEVENT</f>
        <v>0</v>
      </c>
      <c r="K29" s="22">
        <f t="shared" si="1"/>
        <v>1</v>
      </c>
      <c r="L29" s="21">
        <f t="shared" si="2"/>
        <v>1.0833333333333333</v>
      </c>
      <c r="M29" s="67">
        <f>BryanFoersterSALES</f>
        <v>16250</v>
      </c>
      <c r="N29" s="69">
        <v>0</v>
      </c>
      <c r="O29" s="14">
        <v>2024</v>
      </c>
    </row>
    <row r="30" spans="1:15" ht="15.75" thickBot="1" x14ac:dyDescent="0.3">
      <c r="A30" s="5" t="s">
        <v>0</v>
      </c>
      <c r="B30" s="5" t="s">
        <v>61</v>
      </c>
      <c r="C30" s="6" t="s">
        <v>62</v>
      </c>
      <c r="D30" s="76" t="str">
        <f t="shared" si="3"/>
        <v/>
      </c>
      <c r="E30" s="78" t="str">
        <f t="shared" si="4"/>
        <v/>
      </c>
      <c r="F30" s="12">
        <f t="shared" si="0"/>
        <v>6</v>
      </c>
      <c r="G30" s="106">
        <f t="shared" si="5"/>
        <v>14</v>
      </c>
      <c r="H30" s="109">
        <f t="shared" si="6"/>
        <v>2.3333333333333335</v>
      </c>
      <c r="I30" s="75">
        <f>RudyGarciaMEMB</f>
        <v>9</v>
      </c>
      <c r="J30" s="48">
        <f>RudyGarciaEVENT</f>
        <v>0</v>
      </c>
      <c r="K30" s="22">
        <f t="shared" si="1"/>
        <v>5</v>
      </c>
      <c r="L30" s="21">
        <f t="shared" si="2"/>
        <v>5.3323333333333336</v>
      </c>
      <c r="M30" s="67">
        <f>RudyGarciaSALES</f>
        <v>79985</v>
      </c>
      <c r="N30" s="69">
        <v>0</v>
      </c>
      <c r="O30" s="14">
        <v>2019</v>
      </c>
    </row>
    <row r="31" spans="1:15" ht="15.75" thickBot="1" x14ac:dyDescent="0.3">
      <c r="A31" s="5" t="s">
        <v>0</v>
      </c>
      <c r="B31" s="5" t="s">
        <v>63</v>
      </c>
      <c r="C31" s="6" t="s">
        <v>25</v>
      </c>
      <c r="D31" s="76" t="str">
        <f t="shared" si="3"/>
        <v/>
      </c>
      <c r="E31" s="78" t="str">
        <f t="shared" si="4"/>
        <v/>
      </c>
      <c r="F31" s="12">
        <f t="shared" si="0"/>
        <v>2</v>
      </c>
      <c r="G31" s="106">
        <f t="shared" si="5"/>
        <v>3</v>
      </c>
      <c r="H31" s="109">
        <f t="shared" si="6"/>
        <v>1.5</v>
      </c>
      <c r="I31" s="75">
        <f>BrianGardnerMEMB</f>
        <v>2</v>
      </c>
      <c r="J31" s="48">
        <f>BrianGardnerEVENT</f>
        <v>0</v>
      </c>
      <c r="K31" s="22">
        <f t="shared" si="1"/>
        <v>1</v>
      </c>
      <c r="L31" s="21">
        <f t="shared" si="2"/>
        <v>1.04</v>
      </c>
      <c r="M31" s="67">
        <f>BrianGardnerSALES</f>
        <v>15600</v>
      </c>
      <c r="N31" s="69">
        <v>0</v>
      </c>
      <c r="O31" s="14">
        <v>2023</v>
      </c>
    </row>
    <row r="32" spans="1:15" ht="15.75" thickBot="1" x14ac:dyDescent="0.3">
      <c r="A32" s="5" t="s">
        <v>0</v>
      </c>
      <c r="B32" s="5" t="s">
        <v>64</v>
      </c>
      <c r="C32" s="6" t="s">
        <v>65</v>
      </c>
      <c r="D32" s="76" t="str">
        <f t="shared" si="3"/>
        <v/>
      </c>
      <c r="E32" s="78" t="str">
        <f t="shared" si="4"/>
        <v/>
      </c>
      <c r="F32" s="12">
        <f t="shared" si="0"/>
        <v>6</v>
      </c>
      <c r="G32" s="106">
        <f t="shared" si="5"/>
        <v>7</v>
      </c>
      <c r="H32" s="109">
        <f t="shared" si="6"/>
        <v>1.1666666666666667</v>
      </c>
      <c r="I32" s="75">
        <f>ReggieGearyMEMB</f>
        <v>6</v>
      </c>
      <c r="J32" s="48">
        <f>ReggieGearyEVENT</f>
        <v>0</v>
      </c>
      <c r="K32" s="22">
        <f t="shared" si="1"/>
        <v>1</v>
      </c>
      <c r="L32" s="21">
        <f t="shared" si="2"/>
        <v>1.2443333333333333</v>
      </c>
      <c r="M32" s="67">
        <f>ReggieGearySALES</f>
        <v>18665</v>
      </c>
      <c r="N32" s="69">
        <v>0</v>
      </c>
      <c r="O32" s="14">
        <v>2019</v>
      </c>
    </row>
    <row r="33" spans="1:15" ht="15.75" thickBot="1" x14ac:dyDescent="0.3">
      <c r="A33" s="5" t="s">
        <v>0</v>
      </c>
      <c r="B33" s="5" t="s">
        <v>68</v>
      </c>
      <c r="C33" s="6" t="s">
        <v>69</v>
      </c>
      <c r="D33" s="76" t="str">
        <f t="shared" si="3"/>
        <v/>
      </c>
      <c r="E33" s="78" t="str">
        <f t="shared" si="4"/>
        <v/>
      </c>
      <c r="F33" s="12">
        <f t="shared" si="0"/>
        <v>4</v>
      </c>
      <c r="G33" s="106">
        <f t="shared" si="5"/>
        <v>5</v>
      </c>
      <c r="H33" s="109">
        <f t="shared" si="6"/>
        <v>1.25</v>
      </c>
      <c r="I33" s="75">
        <f>VinceGonzlesMEMB</f>
        <v>4</v>
      </c>
      <c r="J33" s="48">
        <f>VinceGonzalesEVENT</f>
        <v>0</v>
      </c>
      <c r="K33" s="22">
        <f t="shared" si="1"/>
        <v>1</v>
      </c>
      <c r="L33" s="21">
        <f t="shared" si="2"/>
        <v>1.1053333333333333</v>
      </c>
      <c r="M33" s="67">
        <f>VinceGonzalesSALES</f>
        <v>16580</v>
      </c>
      <c r="N33" s="69">
        <v>0</v>
      </c>
      <c r="O33" s="14">
        <v>2021</v>
      </c>
    </row>
    <row r="34" spans="1:15" ht="15.75" thickBot="1" x14ac:dyDescent="0.3">
      <c r="A34" s="5" t="s">
        <v>0</v>
      </c>
      <c r="B34" s="5" t="s">
        <v>70</v>
      </c>
      <c r="C34" s="6" t="s">
        <v>71</v>
      </c>
      <c r="D34" s="76" t="str">
        <f t="shared" si="3"/>
        <v/>
      </c>
      <c r="E34" s="78" t="str">
        <f t="shared" si="4"/>
        <v/>
      </c>
      <c r="F34" s="12">
        <f t="shared" si="0"/>
        <v>2</v>
      </c>
      <c r="G34" s="106">
        <f t="shared" si="5"/>
        <v>11</v>
      </c>
      <c r="H34" s="109">
        <f t="shared" si="6"/>
        <v>5.5</v>
      </c>
      <c r="I34" s="75">
        <f>BrettGouldMEMB</f>
        <v>8</v>
      </c>
      <c r="J34" s="48">
        <f>BrettGouldEVENT</f>
        <v>1</v>
      </c>
      <c r="K34" s="22">
        <f t="shared" si="1"/>
        <v>1</v>
      </c>
      <c r="L34" s="21">
        <f t="shared" si="2"/>
        <v>1.446</v>
      </c>
      <c r="M34" s="67">
        <f>BrettGouldSALES</f>
        <v>21690</v>
      </c>
      <c r="N34" s="69">
        <v>1</v>
      </c>
      <c r="O34" s="14">
        <v>2023</v>
      </c>
    </row>
    <row r="35" spans="1:15" ht="15.75" thickBot="1" x14ac:dyDescent="0.3">
      <c r="A35" s="5" t="s">
        <v>0</v>
      </c>
      <c r="B35" s="5" t="s">
        <v>72</v>
      </c>
      <c r="C35" s="6" t="s">
        <v>73</v>
      </c>
      <c r="D35" s="76" t="str">
        <f t="shared" si="3"/>
        <v/>
      </c>
      <c r="E35" s="78" t="str">
        <f t="shared" si="4"/>
        <v/>
      </c>
      <c r="F35" s="12">
        <f t="shared" ref="F35:F66" si="7">SUM($O$1-O35)</f>
        <v>7</v>
      </c>
      <c r="G35" s="106">
        <f t="shared" si="5"/>
        <v>17</v>
      </c>
      <c r="H35" s="109">
        <f t="shared" si="6"/>
        <v>2.4285714285714284</v>
      </c>
      <c r="I35" s="75">
        <f>MattHarperMEMB</f>
        <v>11</v>
      </c>
      <c r="J35" s="48">
        <f>MattHarperEVENT</f>
        <v>5</v>
      </c>
      <c r="K35" s="22">
        <f t="shared" ref="K35:K66" si="8">ROUNDDOWN(L35,0)</f>
        <v>1</v>
      </c>
      <c r="L35" s="21">
        <f t="shared" ref="L35:L66" si="9">SUM(M35/15000)</f>
        <v>1.3256666666666668</v>
      </c>
      <c r="M35" s="67">
        <f>MattHarperSALES</f>
        <v>19885</v>
      </c>
      <c r="N35" s="69">
        <v>0</v>
      </c>
      <c r="O35" s="14">
        <v>2018</v>
      </c>
    </row>
    <row r="36" spans="1:15" ht="15.75" thickBot="1" x14ac:dyDescent="0.3">
      <c r="A36" s="5" t="s">
        <v>0</v>
      </c>
      <c r="B36" s="5" t="s">
        <v>74</v>
      </c>
      <c r="C36" s="6" t="s">
        <v>23</v>
      </c>
      <c r="D36" s="76" t="str">
        <f t="shared" si="3"/>
        <v>ELIGIBLE</v>
      </c>
      <c r="E36" s="78" t="str">
        <f t="shared" si="4"/>
        <v>ELIGIBLE</v>
      </c>
      <c r="F36" s="12">
        <f t="shared" si="7"/>
        <v>19</v>
      </c>
      <c r="G36" s="106">
        <f t="shared" si="5"/>
        <v>38</v>
      </c>
      <c r="H36" s="109">
        <f t="shared" si="6"/>
        <v>2</v>
      </c>
      <c r="I36" s="75">
        <f>JayHealyMEMB</f>
        <v>8</v>
      </c>
      <c r="J36" s="48">
        <f>JayHealyEVENT</f>
        <v>8</v>
      </c>
      <c r="K36" s="22">
        <f t="shared" si="8"/>
        <v>1</v>
      </c>
      <c r="L36" s="21">
        <f t="shared" si="9"/>
        <v>1.409</v>
      </c>
      <c r="M36" s="67">
        <f>JayHealySALES</f>
        <v>21135</v>
      </c>
      <c r="N36" s="69">
        <v>21</v>
      </c>
      <c r="O36" s="14">
        <v>2006</v>
      </c>
    </row>
    <row r="37" spans="1:15" ht="15.75" thickBot="1" x14ac:dyDescent="0.3">
      <c r="A37" s="5" t="s">
        <v>0</v>
      </c>
      <c r="B37" s="5" t="s">
        <v>77</v>
      </c>
      <c r="C37" s="6" t="s">
        <v>78</v>
      </c>
      <c r="D37" s="76" t="str">
        <f t="shared" si="3"/>
        <v>ELIGIBLE</v>
      </c>
      <c r="E37" s="78" t="str">
        <f t="shared" si="4"/>
        <v/>
      </c>
      <c r="F37" s="12">
        <f t="shared" si="7"/>
        <v>20</v>
      </c>
      <c r="G37" s="106">
        <f t="shared" si="5"/>
        <v>27</v>
      </c>
      <c r="H37" s="109">
        <f t="shared" si="6"/>
        <v>1.35</v>
      </c>
      <c r="I37" s="75">
        <f>TroyHochMEMB</f>
        <v>8</v>
      </c>
      <c r="J37" s="48">
        <f>TroyHochEVENT</f>
        <v>6</v>
      </c>
      <c r="K37" s="22">
        <f t="shared" si="8"/>
        <v>1</v>
      </c>
      <c r="L37" s="21">
        <f t="shared" si="9"/>
        <v>1.5833333333333333</v>
      </c>
      <c r="M37" s="67">
        <f>TroyHochSALES</f>
        <v>23750</v>
      </c>
      <c r="N37" s="69">
        <v>12</v>
      </c>
      <c r="O37" s="14">
        <v>2005</v>
      </c>
    </row>
    <row r="38" spans="1:15" ht="15.75" thickBot="1" x14ac:dyDescent="0.3">
      <c r="A38" s="5" t="s">
        <v>0</v>
      </c>
      <c r="B38" s="5" t="s">
        <v>79</v>
      </c>
      <c r="C38" s="6" t="s">
        <v>80</v>
      </c>
      <c r="D38" s="76" t="str">
        <f t="shared" si="3"/>
        <v/>
      </c>
      <c r="E38" s="78" t="str">
        <f t="shared" si="4"/>
        <v/>
      </c>
      <c r="F38" s="12">
        <f t="shared" si="7"/>
        <v>7</v>
      </c>
      <c r="G38" s="106">
        <f t="shared" si="5"/>
        <v>19</v>
      </c>
      <c r="H38" s="109">
        <f t="shared" si="6"/>
        <v>2.7142857142857144</v>
      </c>
      <c r="I38" s="75">
        <f>StevieHopkinsMEMB</f>
        <v>11</v>
      </c>
      <c r="J38" s="48">
        <f>StevieHopkinsEVENT</f>
        <v>5</v>
      </c>
      <c r="K38" s="22">
        <f t="shared" si="8"/>
        <v>3</v>
      </c>
      <c r="L38" s="21">
        <f t="shared" si="9"/>
        <v>3.6669999999999998</v>
      </c>
      <c r="M38" s="67">
        <f>StevieHopkinsSALES</f>
        <v>55005</v>
      </c>
      <c r="N38" s="69">
        <v>0</v>
      </c>
      <c r="O38" s="14">
        <v>2018</v>
      </c>
    </row>
    <row r="39" spans="1:15" ht="15.75" thickBot="1" x14ac:dyDescent="0.3">
      <c r="A39" s="5" t="s">
        <v>0</v>
      </c>
      <c r="B39" s="5" t="s">
        <v>81</v>
      </c>
      <c r="C39" s="6" t="s">
        <v>82</v>
      </c>
      <c r="D39" s="76" t="str">
        <f t="shared" si="3"/>
        <v>ELIGIBLE</v>
      </c>
      <c r="E39" s="78" t="str">
        <f t="shared" si="4"/>
        <v/>
      </c>
      <c r="F39" s="12">
        <f t="shared" si="7"/>
        <v>13</v>
      </c>
      <c r="G39" s="106">
        <f t="shared" si="5"/>
        <v>50</v>
      </c>
      <c r="H39" s="109">
        <f t="shared" si="6"/>
        <v>3.8461538461538463</v>
      </c>
      <c r="I39" s="75">
        <f>EricJacobsonMEMB</f>
        <v>25</v>
      </c>
      <c r="J39" s="48">
        <f>EricJacobsonEVENT</f>
        <v>7</v>
      </c>
      <c r="K39" s="22">
        <f t="shared" si="8"/>
        <v>6</v>
      </c>
      <c r="L39" s="21">
        <f t="shared" si="9"/>
        <v>6.6260000000000003</v>
      </c>
      <c r="M39" s="67">
        <f>EricJacobsonSALES</f>
        <v>99390</v>
      </c>
      <c r="N39" s="69">
        <v>12</v>
      </c>
      <c r="O39" s="14">
        <v>2012</v>
      </c>
    </row>
    <row r="40" spans="1:15" ht="15.75" thickBot="1" x14ac:dyDescent="0.3">
      <c r="A40" s="5" t="s">
        <v>0</v>
      </c>
      <c r="B40" s="5" t="s">
        <v>83</v>
      </c>
      <c r="C40" s="6" t="s">
        <v>20</v>
      </c>
      <c r="D40" s="76" t="str">
        <f t="shared" si="3"/>
        <v>ELIGIBLE</v>
      </c>
      <c r="E40" s="78" t="str">
        <f t="shared" si="4"/>
        <v/>
      </c>
      <c r="F40" s="12">
        <f t="shared" si="7"/>
        <v>11</v>
      </c>
      <c r="G40" s="106">
        <f t="shared" si="5"/>
        <v>12</v>
      </c>
      <c r="H40" s="109">
        <f t="shared" si="6"/>
        <v>1.0909090909090908</v>
      </c>
      <c r="I40" s="75">
        <f>ChrisJohnsonMEMB</f>
        <v>8</v>
      </c>
      <c r="J40" s="48">
        <f>ChrisJohnsonEVENT</f>
        <v>0</v>
      </c>
      <c r="K40" s="22">
        <f t="shared" si="8"/>
        <v>1</v>
      </c>
      <c r="L40" s="21">
        <f t="shared" si="9"/>
        <v>1.105</v>
      </c>
      <c r="M40" s="67">
        <f>ChrisJohnsonSALES</f>
        <v>16575</v>
      </c>
      <c r="N40" s="69">
        <v>3</v>
      </c>
      <c r="O40" s="14">
        <v>2014</v>
      </c>
    </row>
    <row r="41" spans="1:15" ht="15.75" thickBot="1" x14ac:dyDescent="0.3">
      <c r="A41" s="5" t="s">
        <v>0</v>
      </c>
      <c r="B41" s="5" t="s">
        <v>84</v>
      </c>
      <c r="C41" s="6" t="s">
        <v>20</v>
      </c>
      <c r="D41" s="76" t="str">
        <f t="shared" si="3"/>
        <v/>
      </c>
      <c r="E41" s="78" t="str">
        <f t="shared" si="4"/>
        <v/>
      </c>
      <c r="F41" s="12">
        <f t="shared" si="7"/>
        <v>1</v>
      </c>
      <c r="G41" s="106">
        <f t="shared" si="5"/>
        <v>1</v>
      </c>
      <c r="H41" s="109">
        <f t="shared" si="6"/>
        <v>1</v>
      </c>
      <c r="I41" s="75">
        <f>ChrisJordanMEMB</f>
        <v>1</v>
      </c>
      <c r="J41" s="48">
        <f>ChrisJordanEVENT</f>
        <v>0</v>
      </c>
      <c r="K41" s="22">
        <f t="shared" si="8"/>
        <v>0</v>
      </c>
      <c r="L41" s="21">
        <f t="shared" si="9"/>
        <v>0.26666666666666666</v>
      </c>
      <c r="M41" s="67">
        <f>ChrisJordanSALES</f>
        <v>4000</v>
      </c>
      <c r="N41" s="69">
        <v>0</v>
      </c>
      <c r="O41" s="14">
        <v>2024</v>
      </c>
    </row>
    <row r="42" spans="1:15" ht="15.75" thickBot="1" x14ac:dyDescent="0.3">
      <c r="A42" s="5" t="s">
        <v>0</v>
      </c>
      <c r="B42" s="5" t="s">
        <v>85</v>
      </c>
      <c r="C42" s="6" t="s">
        <v>86</v>
      </c>
      <c r="D42" s="76" t="str">
        <f t="shared" si="3"/>
        <v/>
      </c>
      <c r="E42" s="78" t="str">
        <f t="shared" si="4"/>
        <v/>
      </c>
      <c r="F42" s="12">
        <f t="shared" si="7"/>
        <v>5</v>
      </c>
      <c r="G42" s="106">
        <f t="shared" si="5"/>
        <v>14</v>
      </c>
      <c r="H42" s="109">
        <f t="shared" si="6"/>
        <v>2.8</v>
      </c>
      <c r="I42" s="75">
        <f>BroganKemmerlyMEMB</f>
        <v>5</v>
      </c>
      <c r="J42" s="48">
        <f>BroganKemmerlyEVENT</f>
        <v>0</v>
      </c>
      <c r="K42" s="22">
        <f t="shared" si="8"/>
        <v>9</v>
      </c>
      <c r="L42" s="21">
        <f t="shared" si="9"/>
        <v>9.9276666666666671</v>
      </c>
      <c r="M42" s="67">
        <f>BroganKemmerlySALES</f>
        <v>148915</v>
      </c>
      <c r="N42" s="69">
        <v>0</v>
      </c>
      <c r="O42" s="14">
        <v>2020</v>
      </c>
    </row>
    <row r="43" spans="1:15" ht="15.75" thickBot="1" x14ac:dyDescent="0.3">
      <c r="A43" s="5" t="s">
        <v>0</v>
      </c>
      <c r="B43" s="5" t="s">
        <v>87</v>
      </c>
      <c r="C43" s="6" t="s">
        <v>88</v>
      </c>
      <c r="D43" s="76" t="str">
        <f t="shared" si="3"/>
        <v/>
      </c>
      <c r="E43" s="78" t="str">
        <f t="shared" si="4"/>
        <v/>
      </c>
      <c r="F43" s="12">
        <f t="shared" si="7"/>
        <v>2</v>
      </c>
      <c r="G43" s="106">
        <f t="shared" si="5"/>
        <v>2</v>
      </c>
      <c r="H43" s="109">
        <f t="shared" si="6"/>
        <v>1</v>
      </c>
      <c r="I43" s="75">
        <f>TommyKingMEMB</f>
        <v>2</v>
      </c>
      <c r="J43" s="48">
        <f>TommyKingEVENT</f>
        <v>0</v>
      </c>
      <c r="K43" s="22">
        <f t="shared" si="8"/>
        <v>0</v>
      </c>
      <c r="L43" s="21">
        <f t="shared" si="9"/>
        <v>0.64533333333333331</v>
      </c>
      <c r="M43" s="67">
        <f>TommyKingSALES</f>
        <v>9680</v>
      </c>
      <c r="N43" s="69">
        <v>0</v>
      </c>
      <c r="O43" s="14">
        <v>2023</v>
      </c>
    </row>
    <row r="44" spans="1:15" ht="15.75" thickBot="1" x14ac:dyDescent="0.3">
      <c r="A44" s="5" t="s">
        <v>0</v>
      </c>
      <c r="B44" s="5" t="s">
        <v>89</v>
      </c>
      <c r="C44" s="6" t="s">
        <v>90</v>
      </c>
      <c r="D44" s="76" t="str">
        <f t="shared" si="3"/>
        <v>ELIGIBLE</v>
      </c>
      <c r="E44" s="78" t="str">
        <f t="shared" si="4"/>
        <v/>
      </c>
      <c r="F44" s="12">
        <f t="shared" si="7"/>
        <v>13</v>
      </c>
      <c r="G44" s="106">
        <f t="shared" si="5"/>
        <v>20</v>
      </c>
      <c r="H44" s="109">
        <f t="shared" si="6"/>
        <v>1.5384615384615385</v>
      </c>
      <c r="I44" s="75">
        <f>TedKlineMEMB</f>
        <v>8</v>
      </c>
      <c r="J44" s="48">
        <f>TedKlineEVENT</f>
        <v>3</v>
      </c>
      <c r="K44" s="22">
        <f t="shared" si="8"/>
        <v>1</v>
      </c>
      <c r="L44" s="21">
        <f t="shared" si="9"/>
        <v>1.7290000000000001</v>
      </c>
      <c r="M44" s="67">
        <f>TedKlineSALES</f>
        <v>25935</v>
      </c>
      <c r="N44" s="69">
        <v>8</v>
      </c>
      <c r="O44" s="14">
        <v>2012</v>
      </c>
    </row>
    <row r="45" spans="1:15" ht="15.75" thickBot="1" x14ac:dyDescent="0.3">
      <c r="A45" s="5" t="s">
        <v>0</v>
      </c>
      <c r="B45" s="5" t="s">
        <v>91</v>
      </c>
      <c r="C45" s="6" t="s">
        <v>92</v>
      </c>
      <c r="D45" s="76" t="str">
        <f t="shared" si="3"/>
        <v>ELIGIBLE</v>
      </c>
      <c r="E45" s="78" t="str">
        <f t="shared" si="4"/>
        <v/>
      </c>
      <c r="F45" s="12">
        <f t="shared" si="7"/>
        <v>12</v>
      </c>
      <c r="G45" s="106">
        <f t="shared" si="5"/>
        <v>34</v>
      </c>
      <c r="H45" s="109">
        <f t="shared" si="6"/>
        <v>2.8333333333333335</v>
      </c>
      <c r="I45" s="75">
        <f>BenKornMEMB</f>
        <v>16</v>
      </c>
      <c r="J45" s="48">
        <f>BenKornEVENT</f>
        <v>10</v>
      </c>
      <c r="K45" s="22">
        <f t="shared" si="8"/>
        <v>1</v>
      </c>
      <c r="L45" s="21">
        <f t="shared" si="9"/>
        <v>1.885</v>
      </c>
      <c r="M45" s="67">
        <f>BenKornSALES</f>
        <v>28275</v>
      </c>
      <c r="N45" s="69">
        <v>7</v>
      </c>
      <c r="O45" s="14">
        <v>2013</v>
      </c>
    </row>
    <row r="46" spans="1:15" ht="15.75" thickBot="1" x14ac:dyDescent="0.3">
      <c r="A46" s="5" t="s">
        <v>0</v>
      </c>
      <c r="B46" s="5" t="s">
        <v>93</v>
      </c>
      <c r="C46" s="6" t="s">
        <v>94</v>
      </c>
      <c r="D46" s="76" t="str">
        <f t="shared" si="3"/>
        <v/>
      </c>
      <c r="E46" s="78" t="str">
        <f t="shared" si="4"/>
        <v/>
      </c>
      <c r="F46" s="12">
        <f t="shared" si="7"/>
        <v>9</v>
      </c>
      <c r="G46" s="106">
        <f t="shared" si="5"/>
        <v>11</v>
      </c>
      <c r="H46" s="109">
        <f t="shared" si="6"/>
        <v>1.2222222222222223</v>
      </c>
      <c r="I46" s="75">
        <f>JeffreyKowalewskiMEMB</f>
        <v>8</v>
      </c>
      <c r="J46" s="48">
        <f>JeffreyKowalewskiEVENT</f>
        <v>2</v>
      </c>
      <c r="K46" s="22">
        <f t="shared" si="8"/>
        <v>0</v>
      </c>
      <c r="L46" s="21">
        <f t="shared" si="9"/>
        <v>0.98</v>
      </c>
      <c r="M46" s="67">
        <f>JeffreyKowalewskiSALES</f>
        <v>14700</v>
      </c>
      <c r="N46" s="69">
        <v>1</v>
      </c>
      <c r="O46" s="14">
        <v>2016</v>
      </c>
    </row>
    <row r="47" spans="1:15" ht="15.75" thickBot="1" x14ac:dyDescent="0.3">
      <c r="A47" s="5" t="s">
        <v>0</v>
      </c>
      <c r="B47" s="5" t="s">
        <v>95</v>
      </c>
      <c r="C47" s="6" t="s">
        <v>96</v>
      </c>
      <c r="D47" s="76" t="str">
        <f t="shared" si="3"/>
        <v/>
      </c>
      <c r="E47" s="78" t="str">
        <f t="shared" si="4"/>
        <v/>
      </c>
      <c r="F47" s="12">
        <f t="shared" si="7"/>
        <v>7</v>
      </c>
      <c r="G47" s="106">
        <f t="shared" si="5"/>
        <v>8</v>
      </c>
      <c r="H47" s="109">
        <f t="shared" si="6"/>
        <v>1.1428571428571428</v>
      </c>
      <c r="I47" s="75">
        <f>NickKreutzMEMB</f>
        <v>7</v>
      </c>
      <c r="J47" s="48">
        <f>NickKreutzEVENT</f>
        <v>0</v>
      </c>
      <c r="K47" s="22">
        <f t="shared" si="8"/>
        <v>1</v>
      </c>
      <c r="L47" s="21">
        <f t="shared" si="9"/>
        <v>1.9350000000000001</v>
      </c>
      <c r="M47" s="67">
        <f>NickKreutzSALES</f>
        <v>29025</v>
      </c>
      <c r="N47" s="69">
        <v>0</v>
      </c>
      <c r="O47" s="14">
        <v>2018</v>
      </c>
    </row>
    <row r="48" spans="1:15" ht="15.75" thickBot="1" x14ac:dyDescent="0.3">
      <c r="A48" s="5" t="s">
        <v>0</v>
      </c>
      <c r="B48" s="5" t="s">
        <v>97</v>
      </c>
      <c r="C48" s="6" t="s">
        <v>92</v>
      </c>
      <c r="D48" s="76" t="str">
        <f t="shared" si="3"/>
        <v/>
      </c>
      <c r="E48" s="78" t="str">
        <f t="shared" si="4"/>
        <v/>
      </c>
      <c r="F48" s="12">
        <f t="shared" si="7"/>
        <v>8</v>
      </c>
      <c r="G48" s="106">
        <f t="shared" si="5"/>
        <v>20</v>
      </c>
      <c r="H48" s="109">
        <f t="shared" si="6"/>
        <v>2.5</v>
      </c>
      <c r="I48" s="75">
        <f>BenLadridoMEMB</f>
        <v>15</v>
      </c>
      <c r="J48" s="48">
        <f>BenLadridoEVENT</f>
        <v>4</v>
      </c>
      <c r="K48" s="22">
        <f t="shared" si="8"/>
        <v>1</v>
      </c>
      <c r="L48" s="21">
        <f t="shared" si="9"/>
        <v>1.7026666666666668</v>
      </c>
      <c r="M48" s="67">
        <f>BenLadridoSALES</f>
        <v>25540</v>
      </c>
      <c r="N48" s="69">
        <v>0</v>
      </c>
      <c r="O48" s="14">
        <v>2017</v>
      </c>
    </row>
    <row r="49" spans="1:15" ht="15.75" thickBot="1" x14ac:dyDescent="0.3">
      <c r="A49" s="5" t="s">
        <v>0</v>
      </c>
      <c r="B49" s="5" t="s">
        <v>98</v>
      </c>
      <c r="C49" s="6" t="s">
        <v>99</v>
      </c>
      <c r="D49" s="76" t="str">
        <f t="shared" si="3"/>
        <v/>
      </c>
      <c r="E49" s="78" t="str">
        <f t="shared" si="4"/>
        <v/>
      </c>
      <c r="F49" s="12">
        <f t="shared" si="7"/>
        <v>8</v>
      </c>
      <c r="G49" s="106">
        <f t="shared" si="5"/>
        <v>20</v>
      </c>
      <c r="H49" s="109">
        <f t="shared" si="6"/>
        <v>2.5</v>
      </c>
      <c r="I49" s="75">
        <f>ZachLambrightMEMB</f>
        <v>16</v>
      </c>
      <c r="J49" s="48">
        <f>ZachLambrightEVENT</f>
        <v>4</v>
      </c>
      <c r="K49" s="22">
        <f t="shared" si="8"/>
        <v>0</v>
      </c>
      <c r="L49" s="21">
        <f t="shared" si="9"/>
        <v>0.92233333333333334</v>
      </c>
      <c r="M49" s="67">
        <f>ZachLambrightSALES</f>
        <v>13835</v>
      </c>
      <c r="N49" s="69">
        <v>0</v>
      </c>
      <c r="O49" s="14">
        <v>2017</v>
      </c>
    </row>
    <row r="50" spans="1:15" ht="15.75" thickBot="1" x14ac:dyDescent="0.3">
      <c r="A50" s="5" t="s">
        <v>0</v>
      </c>
      <c r="B50" s="5" t="s">
        <v>100</v>
      </c>
      <c r="C50" s="6" t="s">
        <v>101</v>
      </c>
      <c r="D50" s="76" t="str">
        <f t="shared" si="3"/>
        <v/>
      </c>
      <c r="E50" s="78" t="str">
        <f t="shared" si="4"/>
        <v/>
      </c>
      <c r="F50" s="12">
        <f t="shared" si="7"/>
        <v>3</v>
      </c>
      <c r="G50" s="106">
        <f t="shared" si="5"/>
        <v>5</v>
      </c>
      <c r="H50" s="109">
        <f t="shared" si="6"/>
        <v>1.6666666666666667</v>
      </c>
      <c r="I50" s="75">
        <f>NathanLanhamBairdMEMB</f>
        <v>3</v>
      </c>
      <c r="J50" s="48">
        <f>NathanLanhamBairdEVENT</f>
        <v>1</v>
      </c>
      <c r="K50" s="22">
        <f t="shared" si="8"/>
        <v>1</v>
      </c>
      <c r="L50" s="21">
        <f t="shared" si="9"/>
        <v>1.3076666666666668</v>
      </c>
      <c r="M50" s="67">
        <f>NathanLanhamBairdSALES</f>
        <v>19615</v>
      </c>
      <c r="N50" s="69">
        <v>0</v>
      </c>
      <c r="O50" s="14">
        <v>2022</v>
      </c>
    </row>
    <row r="51" spans="1:15" ht="15.75" thickBot="1" x14ac:dyDescent="0.3">
      <c r="A51" s="5" t="s">
        <v>0</v>
      </c>
      <c r="B51" s="5" t="s">
        <v>102</v>
      </c>
      <c r="C51" s="6" t="s">
        <v>103</v>
      </c>
      <c r="D51" s="76" t="str">
        <f t="shared" si="3"/>
        <v/>
      </c>
      <c r="E51" s="78" t="str">
        <f t="shared" si="4"/>
        <v/>
      </c>
      <c r="F51" s="12">
        <f t="shared" si="7"/>
        <v>6</v>
      </c>
      <c r="G51" s="106">
        <f t="shared" si="5"/>
        <v>7</v>
      </c>
      <c r="H51" s="109">
        <f t="shared" si="6"/>
        <v>1.1666666666666667</v>
      </c>
      <c r="I51" s="75">
        <f>ZackLevinMEMB</f>
        <v>6</v>
      </c>
      <c r="J51" s="48">
        <f>ZackLevinEVENT</f>
        <v>0</v>
      </c>
      <c r="K51" s="22">
        <f t="shared" si="8"/>
        <v>1</v>
      </c>
      <c r="L51" s="21">
        <f t="shared" si="9"/>
        <v>1.4853333333333334</v>
      </c>
      <c r="M51" s="67">
        <f>ZackLevinSALES</f>
        <v>22280</v>
      </c>
      <c r="N51" s="69">
        <v>0</v>
      </c>
      <c r="O51" s="14">
        <v>2019</v>
      </c>
    </row>
    <row r="52" spans="1:15" ht="15.75" thickBot="1" x14ac:dyDescent="0.3">
      <c r="A52" s="5" t="s">
        <v>0</v>
      </c>
      <c r="B52" s="5" t="s">
        <v>104</v>
      </c>
      <c r="C52" s="6" t="s">
        <v>105</v>
      </c>
      <c r="D52" s="76" t="str">
        <f t="shared" si="3"/>
        <v/>
      </c>
      <c r="E52" s="78" t="str">
        <f t="shared" si="4"/>
        <v/>
      </c>
      <c r="F52" s="12">
        <f t="shared" si="7"/>
        <v>7</v>
      </c>
      <c r="G52" s="106">
        <f t="shared" si="5"/>
        <v>30</v>
      </c>
      <c r="H52" s="109">
        <f t="shared" si="6"/>
        <v>4.2857142857142856</v>
      </c>
      <c r="I52" s="75">
        <f>JedLightcapMEMB</f>
        <v>19</v>
      </c>
      <c r="J52" s="48">
        <f>JedLightcapEVENT</f>
        <v>6</v>
      </c>
      <c r="K52" s="22">
        <f t="shared" si="8"/>
        <v>5</v>
      </c>
      <c r="L52" s="21">
        <f t="shared" si="9"/>
        <v>5.3816666666666668</v>
      </c>
      <c r="M52" s="67">
        <f>jedLightcapSALES</f>
        <v>80725</v>
      </c>
      <c r="N52" s="69">
        <v>0</v>
      </c>
      <c r="O52" s="14">
        <v>2018</v>
      </c>
    </row>
    <row r="53" spans="1:15" ht="15.75" thickBot="1" x14ac:dyDescent="0.3">
      <c r="A53" s="5" t="s">
        <v>0</v>
      </c>
      <c r="B53" s="5" t="s">
        <v>108</v>
      </c>
      <c r="C53" s="6" t="s">
        <v>109</v>
      </c>
      <c r="D53" s="76" t="str">
        <f t="shared" si="3"/>
        <v/>
      </c>
      <c r="E53" s="78" t="str">
        <f t="shared" si="4"/>
        <v/>
      </c>
      <c r="F53" s="12">
        <f t="shared" si="7"/>
        <v>3</v>
      </c>
      <c r="G53" s="106">
        <f t="shared" si="5"/>
        <v>5</v>
      </c>
      <c r="H53" s="109">
        <f t="shared" si="6"/>
        <v>1.6666666666666667</v>
      </c>
      <c r="I53" s="75">
        <f>CameronMcKayMEMB</f>
        <v>3</v>
      </c>
      <c r="J53" s="48">
        <f>CameronMcKayEVENT</f>
        <v>0</v>
      </c>
      <c r="K53" s="22">
        <f t="shared" si="8"/>
        <v>2</v>
      </c>
      <c r="L53" s="21">
        <f t="shared" si="9"/>
        <v>2.2193333333333332</v>
      </c>
      <c r="M53" s="67">
        <f>CameronMcKaySALES</f>
        <v>33290</v>
      </c>
      <c r="N53" s="69">
        <v>0</v>
      </c>
      <c r="O53" s="14">
        <v>2022</v>
      </c>
    </row>
    <row r="54" spans="1:15" ht="15.75" thickBot="1" x14ac:dyDescent="0.3">
      <c r="A54" s="5" t="s">
        <v>0</v>
      </c>
      <c r="B54" s="5" t="s">
        <v>110</v>
      </c>
      <c r="C54" s="6" t="s">
        <v>53</v>
      </c>
      <c r="D54" s="76" t="str">
        <f t="shared" si="3"/>
        <v/>
      </c>
      <c r="E54" s="78" t="str">
        <f t="shared" si="4"/>
        <v/>
      </c>
      <c r="F54" s="12">
        <f t="shared" si="7"/>
        <v>2</v>
      </c>
      <c r="G54" s="106">
        <f t="shared" si="5"/>
        <v>3</v>
      </c>
      <c r="H54" s="109">
        <f t="shared" si="6"/>
        <v>1.5</v>
      </c>
      <c r="I54" s="75">
        <f>TomMcKinneyMEMB</f>
        <v>2</v>
      </c>
      <c r="J54" s="48">
        <f>TomMcKinneyEVENT</f>
        <v>1</v>
      </c>
      <c r="K54" s="22">
        <f t="shared" si="8"/>
        <v>0</v>
      </c>
      <c r="L54" s="21">
        <f t="shared" si="9"/>
        <v>0.58666666666666667</v>
      </c>
      <c r="M54" s="67">
        <f>TomMcKinneySALES</f>
        <v>8800</v>
      </c>
      <c r="N54" s="69">
        <v>0</v>
      </c>
      <c r="O54" s="14">
        <v>2023</v>
      </c>
    </row>
    <row r="55" spans="1:15" ht="15.75" thickBot="1" x14ac:dyDescent="0.3">
      <c r="A55" s="5" t="s">
        <v>0</v>
      </c>
      <c r="B55" s="5" t="s">
        <v>111</v>
      </c>
      <c r="C55" s="6" t="s">
        <v>76</v>
      </c>
      <c r="D55" s="76" t="str">
        <f t="shared" si="3"/>
        <v/>
      </c>
      <c r="E55" s="78" t="str">
        <f t="shared" si="4"/>
        <v/>
      </c>
      <c r="F55" s="12">
        <f t="shared" si="7"/>
        <v>7</v>
      </c>
      <c r="G55" s="106">
        <f t="shared" si="5"/>
        <v>9</v>
      </c>
      <c r="H55" s="109">
        <f t="shared" si="6"/>
        <v>1.2857142857142858</v>
      </c>
      <c r="I55" s="75">
        <f>JimMegerMEMB</f>
        <v>7</v>
      </c>
      <c r="J55" s="48">
        <f>JimMegerEVENT</f>
        <v>0</v>
      </c>
      <c r="K55" s="22">
        <f t="shared" si="8"/>
        <v>2</v>
      </c>
      <c r="L55" s="21">
        <f t="shared" si="9"/>
        <v>2.3959999999999999</v>
      </c>
      <c r="M55" s="67">
        <f>JimMegerSALES</f>
        <v>35940</v>
      </c>
      <c r="N55" s="69">
        <v>0</v>
      </c>
      <c r="O55" s="14">
        <v>2018</v>
      </c>
    </row>
    <row r="56" spans="1:15" ht="15.75" thickBot="1" x14ac:dyDescent="0.3">
      <c r="A56" s="5" t="s">
        <v>0</v>
      </c>
      <c r="B56" s="5" t="s">
        <v>112</v>
      </c>
      <c r="C56" s="6" t="s">
        <v>96</v>
      </c>
      <c r="D56" s="76" t="str">
        <f t="shared" si="3"/>
        <v/>
      </c>
      <c r="E56" s="78" t="str">
        <f t="shared" si="4"/>
        <v/>
      </c>
      <c r="F56" s="12">
        <f t="shared" si="7"/>
        <v>3</v>
      </c>
      <c r="G56" s="106">
        <f t="shared" si="5"/>
        <v>6</v>
      </c>
      <c r="H56" s="109">
        <f t="shared" si="6"/>
        <v>2</v>
      </c>
      <c r="I56" s="75">
        <f>NickMenkeMEMB</f>
        <v>4</v>
      </c>
      <c r="J56" s="48">
        <f>NickMenkeEVENT</f>
        <v>0</v>
      </c>
      <c r="K56" s="22">
        <f t="shared" si="8"/>
        <v>2</v>
      </c>
      <c r="L56" s="21">
        <f t="shared" si="9"/>
        <v>2.6379999999999999</v>
      </c>
      <c r="M56" s="67">
        <f>NickMenkeSALES</f>
        <v>39570</v>
      </c>
      <c r="N56" s="69">
        <v>0</v>
      </c>
      <c r="O56" s="14">
        <v>2022</v>
      </c>
    </row>
    <row r="57" spans="1:15" ht="15.75" thickBot="1" x14ac:dyDescent="0.3">
      <c r="A57" s="5" t="s">
        <v>0</v>
      </c>
      <c r="B57" s="5" t="s">
        <v>113</v>
      </c>
      <c r="C57" s="6" t="s">
        <v>114</v>
      </c>
      <c r="D57" s="76" t="str">
        <f t="shared" si="3"/>
        <v/>
      </c>
      <c r="E57" s="78" t="str">
        <f t="shared" si="4"/>
        <v/>
      </c>
      <c r="F57" s="12">
        <f t="shared" si="7"/>
        <v>7</v>
      </c>
      <c r="G57" s="106">
        <f t="shared" si="5"/>
        <v>11</v>
      </c>
      <c r="H57" s="109">
        <f t="shared" si="6"/>
        <v>1.5714285714285714</v>
      </c>
      <c r="I57" s="75">
        <f>AaronMeyerMEMB</f>
        <v>7</v>
      </c>
      <c r="J57" s="48">
        <f>AaronMeyerEVENT</f>
        <v>3</v>
      </c>
      <c r="K57" s="22">
        <f t="shared" si="8"/>
        <v>1</v>
      </c>
      <c r="L57" s="21">
        <f t="shared" si="9"/>
        <v>1.599</v>
      </c>
      <c r="M57" s="67">
        <f>AaronMeyerSALES</f>
        <v>23985</v>
      </c>
      <c r="N57" s="69">
        <v>0</v>
      </c>
      <c r="O57" s="14">
        <v>2018</v>
      </c>
    </row>
    <row r="58" spans="1:15" ht="15.75" thickBot="1" x14ac:dyDescent="0.3">
      <c r="A58" s="5" t="s">
        <v>0</v>
      </c>
      <c r="B58" s="5" t="s">
        <v>115</v>
      </c>
      <c r="C58" s="6" t="s">
        <v>181</v>
      </c>
      <c r="D58" s="76" t="str">
        <f t="shared" si="3"/>
        <v/>
      </c>
      <c r="E58" s="78" t="str">
        <f t="shared" si="4"/>
        <v/>
      </c>
      <c r="F58" s="12">
        <f t="shared" si="7"/>
        <v>2</v>
      </c>
      <c r="G58" s="106">
        <f t="shared" si="5"/>
        <v>2</v>
      </c>
      <c r="H58" s="109">
        <f t="shared" si="6"/>
        <v>1</v>
      </c>
      <c r="I58" s="75">
        <f>CameronMooreMEMB</f>
        <v>2</v>
      </c>
      <c r="J58" s="48">
        <f>CameronMooreEVENT</f>
        <v>0</v>
      </c>
      <c r="K58" s="22">
        <f t="shared" si="8"/>
        <v>0</v>
      </c>
      <c r="L58" s="21">
        <f t="shared" si="9"/>
        <v>0.7</v>
      </c>
      <c r="M58" s="67">
        <f>CameronMooreSALES</f>
        <v>10500</v>
      </c>
      <c r="N58" s="69">
        <v>0</v>
      </c>
      <c r="O58" s="14">
        <v>2023</v>
      </c>
    </row>
    <row r="59" spans="1:15" ht="15.75" thickBot="1" x14ac:dyDescent="0.3">
      <c r="A59" s="5" t="s">
        <v>0</v>
      </c>
      <c r="B59" s="5" t="s">
        <v>116</v>
      </c>
      <c r="C59" s="6" t="s">
        <v>219</v>
      </c>
      <c r="D59" s="76" t="str">
        <f t="shared" si="3"/>
        <v/>
      </c>
      <c r="E59" s="78" t="str">
        <f t="shared" si="4"/>
        <v/>
      </c>
      <c r="F59" s="12">
        <f t="shared" si="7"/>
        <v>1</v>
      </c>
      <c r="G59" s="106">
        <f t="shared" si="5"/>
        <v>1</v>
      </c>
      <c r="H59" s="109">
        <f t="shared" si="6"/>
        <v>1</v>
      </c>
      <c r="I59" s="75">
        <f>JoelMoskowitzMEMB</f>
        <v>1</v>
      </c>
      <c r="J59" s="48">
        <f>JoelMoskowitzEVENT</f>
        <v>0</v>
      </c>
      <c r="K59" s="22">
        <f t="shared" si="8"/>
        <v>0</v>
      </c>
      <c r="L59" s="21">
        <f t="shared" si="9"/>
        <v>0.255</v>
      </c>
      <c r="M59" s="67">
        <f>JoelMoskowitzSALES</f>
        <v>3825</v>
      </c>
      <c r="N59" s="69">
        <v>0</v>
      </c>
      <c r="O59" s="14">
        <v>2024</v>
      </c>
    </row>
    <row r="60" spans="1:15" ht="15.75" thickBot="1" x14ac:dyDescent="0.3">
      <c r="A60" s="5" t="s">
        <v>0</v>
      </c>
      <c r="B60" s="5" t="s">
        <v>118</v>
      </c>
      <c r="C60" s="6" t="s">
        <v>119</v>
      </c>
      <c r="D60" s="76" t="str">
        <f t="shared" si="3"/>
        <v/>
      </c>
      <c r="E60" s="78" t="str">
        <f t="shared" si="4"/>
        <v/>
      </c>
      <c r="F60" s="12">
        <f t="shared" si="7"/>
        <v>9</v>
      </c>
      <c r="G60" s="106">
        <f t="shared" si="5"/>
        <v>17</v>
      </c>
      <c r="H60" s="109">
        <f t="shared" si="6"/>
        <v>1.8888888888888888</v>
      </c>
      <c r="I60" s="75">
        <f>PatrickMurphyMEMB</f>
        <v>8</v>
      </c>
      <c r="J60" s="48">
        <f>PatrickMurphyEVENT</f>
        <v>6</v>
      </c>
      <c r="K60" s="22">
        <f t="shared" si="8"/>
        <v>2</v>
      </c>
      <c r="L60" s="21">
        <f t="shared" si="9"/>
        <v>2.3530000000000002</v>
      </c>
      <c r="M60" s="67">
        <f>PatrickMurphySALES</f>
        <v>35295</v>
      </c>
      <c r="N60" s="69">
        <v>1</v>
      </c>
      <c r="O60" s="14">
        <v>2016</v>
      </c>
    </row>
    <row r="61" spans="1:15" ht="15.75" thickBot="1" x14ac:dyDescent="0.3">
      <c r="A61" s="5" t="s">
        <v>0</v>
      </c>
      <c r="B61" s="5" t="s">
        <v>120</v>
      </c>
      <c r="C61" s="6" t="s">
        <v>121</v>
      </c>
      <c r="D61" s="76" t="str">
        <f t="shared" si="3"/>
        <v>ELIGIBLE</v>
      </c>
      <c r="E61" s="78" t="str">
        <f t="shared" si="4"/>
        <v/>
      </c>
      <c r="F61" s="12">
        <f t="shared" si="7"/>
        <v>11</v>
      </c>
      <c r="G61" s="106">
        <f t="shared" si="5"/>
        <v>23</v>
      </c>
      <c r="H61" s="109">
        <f t="shared" si="6"/>
        <v>2.0909090909090908</v>
      </c>
      <c r="I61" s="75">
        <f>SeanMurrayMEMB</f>
        <v>12</v>
      </c>
      <c r="J61" s="48">
        <f>SeanMurrayEVENT</f>
        <v>6</v>
      </c>
      <c r="K61" s="22">
        <f t="shared" si="8"/>
        <v>2</v>
      </c>
      <c r="L61" s="21">
        <f t="shared" si="9"/>
        <v>2.1263333333333332</v>
      </c>
      <c r="M61" s="67">
        <f>SeanMurraySALES</f>
        <v>31895</v>
      </c>
      <c r="N61" s="69">
        <v>3</v>
      </c>
      <c r="O61" s="14">
        <v>2014</v>
      </c>
    </row>
    <row r="62" spans="1:15" ht="15.75" thickBot="1" x14ac:dyDescent="0.3">
      <c r="A62" s="5" t="s">
        <v>0</v>
      </c>
      <c r="B62" s="5" t="s">
        <v>122</v>
      </c>
      <c r="C62" s="6" t="s">
        <v>123</v>
      </c>
      <c r="D62" s="76" t="str">
        <f t="shared" si="3"/>
        <v/>
      </c>
      <c r="E62" s="78" t="str">
        <f t="shared" si="4"/>
        <v/>
      </c>
      <c r="F62" s="12">
        <f t="shared" si="7"/>
        <v>7</v>
      </c>
      <c r="G62" s="106">
        <f t="shared" si="5"/>
        <v>9</v>
      </c>
      <c r="H62" s="109">
        <f t="shared" si="6"/>
        <v>1.2857142857142858</v>
      </c>
      <c r="I62" s="75">
        <f>SpankyNanaMEMB</f>
        <v>7</v>
      </c>
      <c r="J62" s="48">
        <f>SpankyNannaEVENT</f>
        <v>0</v>
      </c>
      <c r="K62" s="22">
        <f t="shared" si="8"/>
        <v>2</v>
      </c>
      <c r="L62" s="21">
        <f t="shared" si="9"/>
        <v>2.0306666666666668</v>
      </c>
      <c r="M62" s="67">
        <f>SpanklyNannaSALES</f>
        <v>30460</v>
      </c>
      <c r="N62" s="69">
        <v>0</v>
      </c>
      <c r="O62" s="14">
        <v>2018</v>
      </c>
    </row>
    <row r="63" spans="1:15" ht="15.75" thickBot="1" x14ac:dyDescent="0.3">
      <c r="A63" s="5" t="s">
        <v>0</v>
      </c>
      <c r="B63" s="5" t="s">
        <v>124</v>
      </c>
      <c r="C63" s="6" t="s">
        <v>220</v>
      </c>
      <c r="D63" s="76" t="str">
        <f t="shared" si="3"/>
        <v>ELIGIBLE</v>
      </c>
      <c r="E63" s="78" t="str">
        <f t="shared" si="4"/>
        <v/>
      </c>
      <c r="F63" s="12">
        <f t="shared" si="7"/>
        <v>12</v>
      </c>
      <c r="G63" s="106">
        <f t="shared" si="5"/>
        <v>32</v>
      </c>
      <c r="H63" s="109">
        <f t="shared" si="6"/>
        <v>2.6666666666666665</v>
      </c>
      <c r="I63" s="75">
        <f>DanNentlMEMB</f>
        <v>17</v>
      </c>
      <c r="J63" s="48">
        <f>DanNentlEVENT</f>
        <v>8</v>
      </c>
      <c r="K63" s="22">
        <f t="shared" si="8"/>
        <v>2</v>
      </c>
      <c r="L63" s="21">
        <f t="shared" si="9"/>
        <v>2.5529999999999999</v>
      </c>
      <c r="M63" s="67">
        <f>DanNentlSALES</f>
        <v>38295</v>
      </c>
      <c r="N63" s="69">
        <v>5</v>
      </c>
      <c r="O63" s="14">
        <v>2013</v>
      </c>
    </row>
    <row r="64" spans="1:15" ht="15.75" thickBot="1" x14ac:dyDescent="0.3">
      <c r="A64" s="5" t="s">
        <v>0</v>
      </c>
      <c r="B64" s="5" t="s">
        <v>125</v>
      </c>
      <c r="C64" s="6" t="s">
        <v>126</v>
      </c>
      <c r="D64" s="76" t="str">
        <f t="shared" si="3"/>
        <v/>
      </c>
      <c r="E64" s="78" t="str">
        <f t="shared" si="4"/>
        <v/>
      </c>
      <c r="F64" s="12">
        <f t="shared" si="7"/>
        <v>2</v>
      </c>
      <c r="G64" s="106">
        <f t="shared" si="5"/>
        <v>2</v>
      </c>
      <c r="H64" s="109">
        <f t="shared" si="6"/>
        <v>1</v>
      </c>
      <c r="I64" s="75">
        <f>JoshOroscoMEMB</f>
        <v>2</v>
      </c>
      <c r="J64" s="48">
        <f>JoshOroscoEVENT</f>
        <v>0</v>
      </c>
      <c r="K64" s="22">
        <f t="shared" si="8"/>
        <v>0</v>
      </c>
      <c r="L64" s="21">
        <f t="shared" si="9"/>
        <v>0.60266666666666668</v>
      </c>
      <c r="M64" s="67">
        <f>JoshOroscoSALES</f>
        <v>9040</v>
      </c>
      <c r="N64" s="69">
        <v>0</v>
      </c>
      <c r="O64" s="14">
        <v>2023</v>
      </c>
    </row>
    <row r="65" spans="1:15" ht="15.75" thickBot="1" x14ac:dyDescent="0.3">
      <c r="A65" s="5" t="s">
        <v>0</v>
      </c>
      <c r="B65" s="5" t="s">
        <v>127</v>
      </c>
      <c r="C65" s="6" t="s">
        <v>128</v>
      </c>
      <c r="D65" s="76" t="str">
        <f t="shared" si="3"/>
        <v/>
      </c>
      <c r="E65" s="78" t="str">
        <f t="shared" si="4"/>
        <v/>
      </c>
      <c r="F65" s="12">
        <f t="shared" si="7"/>
        <v>5</v>
      </c>
      <c r="G65" s="106">
        <f t="shared" si="5"/>
        <v>6</v>
      </c>
      <c r="H65" s="109">
        <f t="shared" si="6"/>
        <v>1.2</v>
      </c>
      <c r="I65" s="75">
        <f>VijayPatelMEMB</f>
        <v>5</v>
      </c>
      <c r="J65" s="48">
        <f>VijayPatelEVENT</f>
        <v>0</v>
      </c>
      <c r="K65" s="22">
        <f t="shared" si="8"/>
        <v>1</v>
      </c>
      <c r="L65" s="21">
        <f t="shared" si="9"/>
        <v>1.2306666666666666</v>
      </c>
      <c r="M65" s="67">
        <f>VijayPatelSALES</f>
        <v>18460</v>
      </c>
      <c r="N65" s="69">
        <v>0</v>
      </c>
      <c r="O65" s="14">
        <v>2020</v>
      </c>
    </row>
    <row r="66" spans="1:15" ht="15.75" thickBot="1" x14ac:dyDescent="0.3">
      <c r="A66" s="5" t="s">
        <v>0</v>
      </c>
      <c r="B66" s="5" t="s">
        <v>129</v>
      </c>
      <c r="C66" s="6" t="s">
        <v>130</v>
      </c>
      <c r="D66" s="76" t="str">
        <f t="shared" si="3"/>
        <v/>
      </c>
      <c r="E66" s="78" t="str">
        <f t="shared" si="4"/>
        <v/>
      </c>
      <c r="F66" s="12">
        <f t="shared" si="7"/>
        <v>2</v>
      </c>
      <c r="G66" s="106">
        <f t="shared" si="5"/>
        <v>2</v>
      </c>
      <c r="H66" s="109">
        <f t="shared" si="6"/>
        <v>1</v>
      </c>
      <c r="I66" s="75">
        <f>ConorPattersonMEMB</f>
        <v>2</v>
      </c>
      <c r="J66" s="48">
        <f>ConorPattersonEVENT</f>
        <v>0</v>
      </c>
      <c r="K66" s="22">
        <f t="shared" si="8"/>
        <v>0</v>
      </c>
      <c r="L66" s="21">
        <f t="shared" si="9"/>
        <v>0.60666666666666669</v>
      </c>
      <c r="M66" s="67">
        <f>ConorPattersonSALES</f>
        <v>9100</v>
      </c>
      <c r="N66" s="69">
        <v>0</v>
      </c>
      <c r="O66" s="14">
        <v>2023</v>
      </c>
    </row>
    <row r="67" spans="1:15" ht="15.75" thickBot="1" x14ac:dyDescent="0.3">
      <c r="A67" s="5" t="s">
        <v>0</v>
      </c>
      <c r="B67" s="5" t="s">
        <v>131</v>
      </c>
      <c r="C67" s="6" t="s">
        <v>31</v>
      </c>
      <c r="D67" s="76" t="str">
        <f t="shared" si="3"/>
        <v/>
      </c>
      <c r="E67" s="78" t="str">
        <f t="shared" si="4"/>
        <v/>
      </c>
      <c r="F67" s="12">
        <f t="shared" ref="F67:F102" si="10">SUM($O$1-O67)</f>
        <v>8</v>
      </c>
      <c r="G67" s="106">
        <f t="shared" ref="G67:G102" si="11">SUM(I67+J67+K67+N67)</f>
        <v>9</v>
      </c>
      <c r="H67" s="109">
        <f t="shared" si="6"/>
        <v>1.125</v>
      </c>
      <c r="I67" s="75">
        <f>LynnPolonskiMEMB</f>
        <v>8</v>
      </c>
      <c r="J67" s="48">
        <f>LynnPolonskiEVENT</f>
        <v>0</v>
      </c>
      <c r="K67" s="22">
        <f t="shared" ref="K67:K98" si="12">ROUNDDOWN(L67,0)</f>
        <v>1</v>
      </c>
      <c r="L67" s="21">
        <f t="shared" ref="L67:L98" si="13">SUM(M67/15000)</f>
        <v>1.595</v>
      </c>
      <c r="M67" s="67">
        <f>LynnPolonskiSALES</f>
        <v>23925</v>
      </c>
      <c r="N67" s="69">
        <v>0</v>
      </c>
      <c r="O67" s="14">
        <v>2017</v>
      </c>
    </row>
    <row r="68" spans="1:15" ht="15.75" thickBot="1" x14ac:dyDescent="0.3">
      <c r="A68" s="5" t="s">
        <v>0</v>
      </c>
      <c r="B68" s="5" t="s">
        <v>132</v>
      </c>
      <c r="C68" s="6" t="s">
        <v>126</v>
      </c>
      <c r="D68" s="76" t="str">
        <f t="shared" ref="D68:D102" si="14">IF(AND(F68&gt;9, G68&gt;11),"ELIGIBLE","")</f>
        <v/>
      </c>
      <c r="E68" s="78" t="str">
        <f t="shared" ref="E68:E102" si="15">IF(AND(F68&gt;14, G68&gt;29),"ELIGIBLE","")</f>
        <v/>
      </c>
      <c r="F68" s="12">
        <f t="shared" si="10"/>
        <v>9</v>
      </c>
      <c r="G68" s="106">
        <f t="shared" si="11"/>
        <v>16</v>
      </c>
      <c r="H68" s="109">
        <f t="shared" ref="H68:H102" si="16">SUM(G68/F68)</f>
        <v>1.7777777777777777</v>
      </c>
      <c r="I68" s="75">
        <f>JoshPuntenneyMEMB</f>
        <v>8</v>
      </c>
      <c r="J68" s="48">
        <f>JoshPuntenneyEVENT</f>
        <v>4</v>
      </c>
      <c r="K68" s="22">
        <f t="shared" si="12"/>
        <v>2</v>
      </c>
      <c r="L68" s="21">
        <f t="shared" si="13"/>
        <v>2.7586666666666666</v>
      </c>
      <c r="M68" s="67">
        <f>JoshPuntenneySALES</f>
        <v>41380</v>
      </c>
      <c r="N68" s="69">
        <v>2</v>
      </c>
      <c r="O68" s="14">
        <v>2016</v>
      </c>
    </row>
    <row r="69" spans="1:15" ht="15.75" thickBot="1" x14ac:dyDescent="0.3">
      <c r="A69" s="5" t="s">
        <v>0</v>
      </c>
      <c r="B69" s="5" t="s">
        <v>133</v>
      </c>
      <c r="C69" s="6" t="s">
        <v>134</v>
      </c>
      <c r="D69" s="76" t="str">
        <f t="shared" si="14"/>
        <v>ELIGIBLE</v>
      </c>
      <c r="E69" s="78" t="str">
        <f t="shared" si="15"/>
        <v/>
      </c>
      <c r="F69" s="12">
        <f t="shared" si="10"/>
        <v>10</v>
      </c>
      <c r="G69" s="106">
        <f t="shared" si="11"/>
        <v>21</v>
      </c>
      <c r="H69" s="109">
        <f t="shared" si="16"/>
        <v>2.1</v>
      </c>
      <c r="I69" s="75">
        <f>RobPurvisMEMB</f>
        <v>12</v>
      </c>
      <c r="J69" s="48">
        <f>RobPurvisEVENT</f>
        <v>1</v>
      </c>
      <c r="K69" s="22">
        <f t="shared" si="12"/>
        <v>5</v>
      </c>
      <c r="L69" s="21">
        <f t="shared" si="13"/>
        <v>5.8343333333333334</v>
      </c>
      <c r="M69" s="67">
        <f>RobPurvisSALES</f>
        <v>87515</v>
      </c>
      <c r="N69" s="69">
        <v>3</v>
      </c>
      <c r="O69" s="14">
        <v>2015</v>
      </c>
    </row>
    <row r="70" spans="1:15" ht="15.75" thickBot="1" x14ac:dyDescent="0.3">
      <c r="A70" s="5" t="s">
        <v>0</v>
      </c>
      <c r="B70" s="5" t="s">
        <v>135</v>
      </c>
      <c r="C70" s="6" t="s">
        <v>136</v>
      </c>
      <c r="D70" s="76" t="str">
        <f t="shared" si="14"/>
        <v/>
      </c>
      <c r="E70" s="78" t="str">
        <f t="shared" si="15"/>
        <v/>
      </c>
      <c r="F70" s="12">
        <f t="shared" si="10"/>
        <v>1</v>
      </c>
      <c r="G70" s="106">
        <f t="shared" si="11"/>
        <v>1</v>
      </c>
      <c r="H70" s="109">
        <f t="shared" si="16"/>
        <v>1</v>
      </c>
      <c r="I70" s="75">
        <f>ClintReedMEMB</f>
        <v>1</v>
      </c>
      <c r="J70" s="48">
        <f>ClintReedEVENT</f>
        <v>0</v>
      </c>
      <c r="K70" s="22">
        <f t="shared" si="12"/>
        <v>0</v>
      </c>
      <c r="L70" s="21">
        <f t="shared" si="13"/>
        <v>0.25166666666666665</v>
      </c>
      <c r="M70" s="67">
        <f>ClintReedSALES</f>
        <v>3775</v>
      </c>
      <c r="N70" s="69">
        <v>0</v>
      </c>
      <c r="O70" s="14">
        <v>2024</v>
      </c>
    </row>
    <row r="71" spans="1:15" ht="15.75" thickBot="1" x14ac:dyDescent="0.3">
      <c r="A71" s="5" t="s">
        <v>0</v>
      </c>
      <c r="B71" s="5" t="s">
        <v>137</v>
      </c>
      <c r="C71" s="6" t="s">
        <v>182</v>
      </c>
      <c r="D71" s="76" t="str">
        <f t="shared" si="14"/>
        <v/>
      </c>
      <c r="E71" s="78" t="str">
        <f t="shared" si="15"/>
        <v/>
      </c>
      <c r="F71" s="12">
        <f t="shared" si="10"/>
        <v>1</v>
      </c>
      <c r="G71" s="106">
        <f t="shared" si="11"/>
        <v>1</v>
      </c>
      <c r="H71" s="109">
        <f t="shared" si="16"/>
        <v>1</v>
      </c>
      <c r="I71" s="75">
        <f>RyanRepucciMEMB</f>
        <v>1</v>
      </c>
      <c r="J71" s="48">
        <f>RyanRepucciEVENT</f>
        <v>0</v>
      </c>
      <c r="K71" s="22">
        <f t="shared" si="12"/>
        <v>0</v>
      </c>
      <c r="L71" s="21">
        <f t="shared" si="13"/>
        <v>0.31666666666666665</v>
      </c>
      <c r="M71" s="67">
        <f>RyanRepucciSALES</f>
        <v>4750</v>
      </c>
      <c r="N71" s="69">
        <v>0</v>
      </c>
      <c r="O71" s="14">
        <v>2024</v>
      </c>
    </row>
    <row r="72" spans="1:15" ht="15.75" thickBot="1" x14ac:dyDescent="0.3">
      <c r="A72" s="5" t="s">
        <v>0</v>
      </c>
      <c r="B72" s="5" t="s">
        <v>138</v>
      </c>
      <c r="C72" s="6" t="s">
        <v>139</v>
      </c>
      <c r="D72" s="76" t="str">
        <f t="shared" si="14"/>
        <v/>
      </c>
      <c r="E72" s="78" t="str">
        <f t="shared" si="15"/>
        <v/>
      </c>
      <c r="F72" s="12">
        <f t="shared" si="10"/>
        <v>5</v>
      </c>
      <c r="G72" s="106">
        <f t="shared" si="11"/>
        <v>6</v>
      </c>
      <c r="H72" s="109">
        <f t="shared" si="16"/>
        <v>1.2</v>
      </c>
      <c r="I72" s="75">
        <f>JasonRobinsonMEMB</f>
        <v>6</v>
      </c>
      <c r="J72" s="48">
        <f>JasonRobinsonEVENT</f>
        <v>0</v>
      </c>
      <c r="K72" s="22">
        <f t="shared" si="12"/>
        <v>0</v>
      </c>
      <c r="L72" s="21">
        <f t="shared" si="13"/>
        <v>0.88766666666666671</v>
      </c>
      <c r="M72" s="67">
        <f>JasonRobinsonSALES</f>
        <v>13315</v>
      </c>
      <c r="N72" s="69">
        <v>0</v>
      </c>
      <c r="O72" s="14">
        <v>2020</v>
      </c>
    </row>
    <row r="73" spans="1:15" ht="15.75" thickBot="1" x14ac:dyDescent="0.3">
      <c r="A73" s="5" t="s">
        <v>0</v>
      </c>
      <c r="B73" s="5" t="s">
        <v>140</v>
      </c>
      <c r="C73" s="6" t="s">
        <v>141</v>
      </c>
      <c r="D73" s="76" t="str">
        <f t="shared" si="14"/>
        <v>ELIGIBLE</v>
      </c>
      <c r="E73" s="78" t="str">
        <f t="shared" si="15"/>
        <v/>
      </c>
      <c r="F73" s="12">
        <f t="shared" si="10"/>
        <v>14</v>
      </c>
      <c r="G73" s="106">
        <f t="shared" si="11"/>
        <v>33</v>
      </c>
      <c r="H73" s="109">
        <f t="shared" si="16"/>
        <v>2.3571428571428572</v>
      </c>
      <c r="I73" s="75">
        <f>RichRodriguezMEMB</f>
        <v>18</v>
      </c>
      <c r="J73" s="48">
        <f>RichRodriguezEVENT</f>
        <v>6</v>
      </c>
      <c r="K73" s="22">
        <f t="shared" si="12"/>
        <v>3</v>
      </c>
      <c r="L73" s="21">
        <f t="shared" si="13"/>
        <v>3.6053333333333333</v>
      </c>
      <c r="M73" s="67">
        <f>RichRodriguezSALES</f>
        <v>54080</v>
      </c>
      <c r="N73" s="69">
        <v>6</v>
      </c>
      <c r="O73" s="14">
        <v>2011</v>
      </c>
    </row>
    <row r="74" spans="1:15" ht="15.75" thickBot="1" x14ac:dyDescent="0.3">
      <c r="A74" s="5" t="s">
        <v>0</v>
      </c>
      <c r="B74" s="5" t="s">
        <v>144</v>
      </c>
      <c r="C74" s="6" t="s">
        <v>58</v>
      </c>
      <c r="D74" s="76" t="str">
        <f t="shared" si="14"/>
        <v/>
      </c>
      <c r="E74" s="78" t="str">
        <f t="shared" si="15"/>
        <v/>
      </c>
      <c r="F74" s="12">
        <f t="shared" si="10"/>
        <v>1</v>
      </c>
      <c r="G74" s="106">
        <f t="shared" si="11"/>
        <v>1</v>
      </c>
      <c r="H74" s="109">
        <f t="shared" si="16"/>
        <v>1</v>
      </c>
      <c r="I74" s="75">
        <f>JohnSarikasMEMB</f>
        <v>1</v>
      </c>
      <c r="J74" s="48">
        <f>JohnSarikasEVENT</f>
        <v>0</v>
      </c>
      <c r="K74" s="22">
        <f t="shared" si="12"/>
        <v>0</v>
      </c>
      <c r="L74" s="21">
        <f t="shared" si="13"/>
        <v>0.64166666666666672</v>
      </c>
      <c r="M74" s="67">
        <f>JohnSarikasSALES</f>
        <v>9625</v>
      </c>
      <c r="N74" s="69">
        <v>0</v>
      </c>
      <c r="O74" s="14">
        <v>2024</v>
      </c>
    </row>
    <row r="75" spans="1:15" ht="15.75" thickBot="1" x14ac:dyDescent="0.3">
      <c r="A75" s="5" t="s">
        <v>0</v>
      </c>
      <c r="B75" s="5" t="s">
        <v>147</v>
      </c>
      <c r="C75" s="6" t="s">
        <v>148</v>
      </c>
      <c r="D75" s="76" t="str">
        <f t="shared" si="14"/>
        <v/>
      </c>
      <c r="E75" s="78" t="str">
        <f t="shared" si="15"/>
        <v/>
      </c>
      <c r="F75" s="12">
        <f t="shared" si="10"/>
        <v>5</v>
      </c>
      <c r="G75" s="106">
        <f t="shared" si="11"/>
        <v>7</v>
      </c>
      <c r="H75" s="109">
        <f t="shared" si="16"/>
        <v>1.4</v>
      </c>
      <c r="I75" s="75">
        <f>VianneySaroniMEMB</f>
        <v>5</v>
      </c>
      <c r="J75" s="48">
        <f>VianneySaroniEVENT</f>
        <v>1</v>
      </c>
      <c r="K75" s="22">
        <f t="shared" si="12"/>
        <v>1</v>
      </c>
      <c r="L75" s="21">
        <f t="shared" si="13"/>
        <v>1.4076666666666666</v>
      </c>
      <c r="M75" s="67">
        <f>VianneySaroniSALES</f>
        <v>21115</v>
      </c>
      <c r="N75" s="69">
        <v>0</v>
      </c>
      <c r="O75" s="14">
        <v>2020</v>
      </c>
    </row>
    <row r="76" spans="1:15" ht="15.75" thickBot="1" x14ac:dyDescent="0.3">
      <c r="A76" s="5" t="s">
        <v>0</v>
      </c>
      <c r="B76" s="5" t="s">
        <v>149</v>
      </c>
      <c r="C76" s="6" t="s">
        <v>18</v>
      </c>
      <c r="D76" s="76" t="str">
        <f t="shared" si="14"/>
        <v>ELIGIBLE</v>
      </c>
      <c r="E76" s="78" t="str">
        <f t="shared" si="15"/>
        <v/>
      </c>
      <c r="F76" s="12">
        <f t="shared" si="10"/>
        <v>12</v>
      </c>
      <c r="G76" s="106">
        <f t="shared" si="11"/>
        <v>28</v>
      </c>
      <c r="H76" s="109">
        <f t="shared" si="16"/>
        <v>2.3333333333333335</v>
      </c>
      <c r="I76" s="75">
        <f>MikeSchmidtMEMB</f>
        <v>12</v>
      </c>
      <c r="J76" s="48">
        <f>MikeSchmidtEVENT</f>
        <v>5</v>
      </c>
      <c r="K76" s="22">
        <f t="shared" si="12"/>
        <v>1</v>
      </c>
      <c r="L76" s="21">
        <f t="shared" si="13"/>
        <v>1.3993333333333333</v>
      </c>
      <c r="M76" s="67">
        <f>MikeSchmidtSALES</f>
        <v>20990</v>
      </c>
      <c r="N76" s="69">
        <v>10</v>
      </c>
      <c r="O76" s="14">
        <v>2013</v>
      </c>
    </row>
    <row r="77" spans="1:15" ht="15.75" thickBot="1" x14ac:dyDescent="0.3">
      <c r="A77" s="5" t="s">
        <v>0</v>
      </c>
      <c r="B77" s="5" t="s">
        <v>150</v>
      </c>
      <c r="C77" s="6" t="s">
        <v>35</v>
      </c>
      <c r="D77" s="76" t="str">
        <f t="shared" si="14"/>
        <v/>
      </c>
      <c r="E77" s="78" t="str">
        <f t="shared" si="15"/>
        <v/>
      </c>
      <c r="F77" s="12">
        <f t="shared" si="10"/>
        <v>3</v>
      </c>
      <c r="G77" s="106">
        <f t="shared" si="11"/>
        <v>5</v>
      </c>
      <c r="H77" s="109">
        <f t="shared" si="16"/>
        <v>1.6666666666666667</v>
      </c>
      <c r="I77" s="75">
        <f>AndrewSchmukerMEMB</f>
        <v>3</v>
      </c>
      <c r="J77" s="48">
        <f>AndrewSchmukerEVENT</f>
        <v>1</v>
      </c>
      <c r="K77" s="22">
        <f t="shared" si="12"/>
        <v>1</v>
      </c>
      <c r="L77" s="21">
        <f t="shared" si="13"/>
        <v>1.78</v>
      </c>
      <c r="M77" s="67">
        <f>AndrewSchmukerSALES</f>
        <v>26700</v>
      </c>
      <c r="N77" s="69">
        <v>0</v>
      </c>
      <c r="O77" s="14">
        <v>2022</v>
      </c>
    </row>
    <row r="78" spans="1:15" ht="15.75" thickBot="1" x14ac:dyDescent="0.3">
      <c r="A78" s="5" t="s">
        <v>0</v>
      </c>
      <c r="B78" s="5" t="s">
        <v>151</v>
      </c>
      <c r="C78" s="6" t="s">
        <v>82</v>
      </c>
      <c r="D78" s="76" t="str">
        <f t="shared" si="14"/>
        <v/>
      </c>
      <c r="E78" s="78" t="str">
        <f t="shared" si="15"/>
        <v/>
      </c>
      <c r="F78" s="12">
        <f t="shared" si="10"/>
        <v>6</v>
      </c>
      <c r="G78" s="106">
        <f t="shared" si="11"/>
        <v>10</v>
      </c>
      <c r="H78" s="109">
        <f t="shared" si="16"/>
        <v>1.6666666666666667</v>
      </c>
      <c r="I78" s="75">
        <f>EricSchroederMEMB</f>
        <v>7</v>
      </c>
      <c r="J78" s="48">
        <f>EricSchroederEVENT</f>
        <v>1</v>
      </c>
      <c r="K78" s="22">
        <f t="shared" si="12"/>
        <v>2</v>
      </c>
      <c r="L78" s="21">
        <f t="shared" si="13"/>
        <v>2.4846666666666666</v>
      </c>
      <c r="M78" s="67">
        <f>EricSchroederSALES</f>
        <v>37270</v>
      </c>
      <c r="N78" s="69">
        <v>0</v>
      </c>
      <c r="O78" s="14">
        <v>2019</v>
      </c>
    </row>
    <row r="79" spans="1:15" ht="15.75" thickBot="1" x14ac:dyDescent="0.3">
      <c r="A79" s="5" t="s">
        <v>0</v>
      </c>
      <c r="B79" s="5" t="s">
        <v>152</v>
      </c>
      <c r="C79" s="6" t="s">
        <v>183</v>
      </c>
      <c r="D79" s="76" t="str">
        <f t="shared" si="14"/>
        <v/>
      </c>
      <c r="E79" s="78" t="str">
        <f t="shared" si="15"/>
        <v/>
      </c>
      <c r="F79" s="12">
        <f t="shared" si="10"/>
        <v>2</v>
      </c>
      <c r="G79" s="106">
        <f t="shared" si="11"/>
        <v>2</v>
      </c>
      <c r="H79" s="109">
        <f t="shared" si="16"/>
        <v>1</v>
      </c>
      <c r="I79" s="75">
        <f>ToddSeppMEMB</f>
        <v>2</v>
      </c>
      <c r="J79" s="48">
        <f>ToddSeppEVENT</f>
        <v>0</v>
      </c>
      <c r="K79" s="22">
        <f t="shared" si="12"/>
        <v>0</v>
      </c>
      <c r="L79" s="21">
        <f t="shared" si="13"/>
        <v>0.76</v>
      </c>
      <c r="M79" s="67">
        <f>ToddSeppSALES</f>
        <v>11400</v>
      </c>
      <c r="N79" s="69">
        <v>0</v>
      </c>
      <c r="O79" s="14">
        <v>2023</v>
      </c>
    </row>
    <row r="80" spans="1:15" ht="15.75" thickBot="1" x14ac:dyDescent="0.3">
      <c r="A80" s="5" t="s">
        <v>0</v>
      </c>
      <c r="B80" s="5" t="s">
        <v>153</v>
      </c>
      <c r="C80" s="6" t="s">
        <v>154</v>
      </c>
      <c r="D80" s="76" t="str">
        <f t="shared" si="14"/>
        <v/>
      </c>
      <c r="E80" s="78" t="str">
        <f t="shared" si="15"/>
        <v/>
      </c>
      <c r="F80" s="12">
        <f t="shared" si="10"/>
        <v>5</v>
      </c>
      <c r="G80" s="106">
        <f t="shared" si="11"/>
        <v>6</v>
      </c>
      <c r="H80" s="109">
        <f t="shared" si="16"/>
        <v>1.2</v>
      </c>
      <c r="I80" s="75">
        <f>BillyShawMEMB</f>
        <v>5</v>
      </c>
      <c r="J80" s="48">
        <f>BillyShawEVENT</f>
        <v>0</v>
      </c>
      <c r="K80" s="22">
        <f t="shared" si="12"/>
        <v>1</v>
      </c>
      <c r="L80" s="21">
        <f t="shared" si="13"/>
        <v>1.252</v>
      </c>
      <c r="M80" s="67">
        <f>BillyShawSALES</f>
        <v>18780</v>
      </c>
      <c r="N80" s="69">
        <v>0</v>
      </c>
      <c r="O80" s="14">
        <v>2020</v>
      </c>
    </row>
    <row r="81" spans="1:15" ht="15.75" thickBot="1" x14ac:dyDescent="0.3">
      <c r="A81" s="5" t="s">
        <v>0</v>
      </c>
      <c r="B81" s="5" t="s">
        <v>156</v>
      </c>
      <c r="C81" s="6" t="s">
        <v>114</v>
      </c>
      <c r="D81" s="76" t="str">
        <f t="shared" si="14"/>
        <v/>
      </c>
      <c r="E81" s="78" t="str">
        <f t="shared" si="15"/>
        <v/>
      </c>
      <c r="F81" s="12">
        <f t="shared" si="10"/>
        <v>8</v>
      </c>
      <c r="G81" s="106">
        <f t="shared" si="11"/>
        <v>10</v>
      </c>
      <c r="H81" s="109">
        <f t="shared" si="16"/>
        <v>1.25</v>
      </c>
      <c r="I81" s="75">
        <f>AaronSkoczenMEMB</f>
        <v>8</v>
      </c>
      <c r="J81" s="48">
        <f>AaronSkoczenEVENT</f>
        <v>2</v>
      </c>
      <c r="K81" s="22">
        <f t="shared" si="12"/>
        <v>0</v>
      </c>
      <c r="L81" s="21">
        <f t="shared" si="13"/>
        <v>0.82799999999999996</v>
      </c>
      <c r="M81" s="67">
        <f>AaronSkoczenSALES</f>
        <v>12420</v>
      </c>
      <c r="N81" s="69">
        <v>0</v>
      </c>
      <c r="O81" s="14">
        <v>2017</v>
      </c>
    </row>
    <row r="82" spans="1:15" ht="15.75" thickBot="1" x14ac:dyDescent="0.3">
      <c r="A82" s="5" t="s">
        <v>0</v>
      </c>
      <c r="B82" s="5" t="s">
        <v>157</v>
      </c>
      <c r="C82" s="6" t="s">
        <v>58</v>
      </c>
      <c r="D82" s="76" t="str">
        <f t="shared" si="14"/>
        <v/>
      </c>
      <c r="E82" s="78" t="str">
        <f t="shared" si="15"/>
        <v/>
      </c>
      <c r="F82" s="12">
        <f t="shared" si="10"/>
        <v>8</v>
      </c>
      <c r="G82" s="106">
        <f t="shared" si="11"/>
        <v>2</v>
      </c>
      <c r="H82" s="109">
        <f t="shared" si="16"/>
        <v>0.25</v>
      </c>
      <c r="I82" s="75">
        <f>JohnSarikasMEMB</f>
        <v>1</v>
      </c>
      <c r="J82" s="48">
        <f>JohnSmithEVENT</f>
        <v>0</v>
      </c>
      <c r="K82" s="22">
        <f t="shared" si="12"/>
        <v>1</v>
      </c>
      <c r="L82" s="21">
        <f t="shared" si="13"/>
        <v>1.149</v>
      </c>
      <c r="M82" s="67">
        <f>JohnSmithSALES</f>
        <v>17235</v>
      </c>
      <c r="N82" s="69">
        <v>0</v>
      </c>
      <c r="O82" s="14">
        <v>2017</v>
      </c>
    </row>
    <row r="83" spans="1:15" ht="15.75" thickBot="1" x14ac:dyDescent="0.3">
      <c r="A83" s="5" t="s">
        <v>0</v>
      </c>
      <c r="B83" s="5" t="s">
        <v>159</v>
      </c>
      <c r="C83" s="6" t="s">
        <v>7</v>
      </c>
      <c r="D83" s="76" t="str">
        <f t="shared" si="14"/>
        <v/>
      </c>
      <c r="E83" s="78" t="str">
        <f t="shared" si="15"/>
        <v/>
      </c>
      <c r="F83" s="12">
        <f t="shared" si="10"/>
        <v>5</v>
      </c>
      <c r="G83" s="106">
        <f t="shared" si="11"/>
        <v>7</v>
      </c>
      <c r="H83" s="109">
        <f t="shared" si="16"/>
        <v>1.4</v>
      </c>
      <c r="I83" s="75">
        <f>GregStutzMEMB</f>
        <v>5</v>
      </c>
      <c r="J83" s="48">
        <f>GregStutzEVENT</f>
        <v>0</v>
      </c>
      <c r="K83" s="22">
        <f t="shared" si="12"/>
        <v>2</v>
      </c>
      <c r="L83" s="21">
        <f t="shared" si="13"/>
        <v>2.024</v>
      </c>
      <c r="M83" s="67">
        <f>GregStutzSALES</f>
        <v>30360</v>
      </c>
      <c r="N83" s="69">
        <v>0</v>
      </c>
      <c r="O83" s="14">
        <v>2020</v>
      </c>
    </row>
    <row r="84" spans="1:15" ht="15.75" thickBot="1" x14ac:dyDescent="0.3">
      <c r="A84" s="5" t="s">
        <v>0</v>
      </c>
      <c r="B84" s="5" t="s">
        <v>160</v>
      </c>
      <c r="C84" s="6" t="s">
        <v>161</v>
      </c>
      <c r="D84" s="76" t="str">
        <f t="shared" si="14"/>
        <v/>
      </c>
      <c r="E84" s="78" t="str">
        <f t="shared" si="15"/>
        <v/>
      </c>
      <c r="F84" s="12">
        <f t="shared" si="10"/>
        <v>6</v>
      </c>
      <c r="G84" s="106">
        <f t="shared" si="11"/>
        <v>8</v>
      </c>
      <c r="H84" s="109">
        <f t="shared" si="16"/>
        <v>1.3333333333333333</v>
      </c>
      <c r="I84" s="75">
        <f>VictorThompsonMEMB</f>
        <v>6</v>
      </c>
      <c r="J84" s="48">
        <f>VictorThompsonEVENT</f>
        <v>1</v>
      </c>
      <c r="K84" s="22">
        <f t="shared" si="12"/>
        <v>1</v>
      </c>
      <c r="L84" s="21">
        <f t="shared" si="13"/>
        <v>1.2833333333333334</v>
      </c>
      <c r="M84" s="67">
        <f>VictorThompsonSALES</f>
        <v>19250</v>
      </c>
      <c r="N84" s="69">
        <v>0</v>
      </c>
      <c r="O84" s="14">
        <v>2019</v>
      </c>
    </row>
    <row r="85" spans="1:15" ht="15.75" thickBot="1" x14ac:dyDescent="0.3">
      <c r="A85" s="5" t="s">
        <v>0</v>
      </c>
      <c r="B85" s="5" t="s">
        <v>162</v>
      </c>
      <c r="C85" s="6" t="s">
        <v>76</v>
      </c>
      <c r="D85" s="76" t="str">
        <f t="shared" si="14"/>
        <v/>
      </c>
      <c r="E85" s="78" t="str">
        <f t="shared" si="15"/>
        <v/>
      </c>
      <c r="F85" s="12">
        <f t="shared" si="10"/>
        <v>9</v>
      </c>
      <c r="G85" s="106">
        <f t="shared" si="11"/>
        <v>34</v>
      </c>
      <c r="H85" s="109">
        <f t="shared" si="16"/>
        <v>3.7777777777777777</v>
      </c>
      <c r="I85" s="75">
        <f>JimTofelMEMB</f>
        <v>18</v>
      </c>
      <c r="J85" s="48">
        <f>JimTofelEVENT</f>
        <v>4</v>
      </c>
      <c r="K85" s="22">
        <f t="shared" si="12"/>
        <v>11</v>
      </c>
      <c r="L85" s="21">
        <f t="shared" si="13"/>
        <v>11.851333333333333</v>
      </c>
      <c r="M85" s="67">
        <f>JimTofelSALES</f>
        <v>177770</v>
      </c>
      <c r="N85" s="69">
        <v>1</v>
      </c>
      <c r="O85" s="14">
        <v>2016</v>
      </c>
    </row>
    <row r="86" spans="1:15" ht="15.75" thickBot="1" x14ac:dyDescent="0.3">
      <c r="A86" s="5" t="s">
        <v>0</v>
      </c>
      <c r="B86" s="5" t="s">
        <v>163</v>
      </c>
      <c r="C86" s="6" t="s">
        <v>158</v>
      </c>
      <c r="D86" s="76" t="str">
        <f t="shared" si="14"/>
        <v/>
      </c>
      <c r="E86" s="78" t="str">
        <f t="shared" si="15"/>
        <v/>
      </c>
      <c r="F86" s="12">
        <f t="shared" si="10"/>
        <v>3</v>
      </c>
      <c r="G86" s="106">
        <f t="shared" si="11"/>
        <v>4</v>
      </c>
      <c r="H86" s="109">
        <f t="shared" si="16"/>
        <v>1.3333333333333333</v>
      </c>
      <c r="I86" s="75">
        <f>TravisTuftsMEMB</f>
        <v>3</v>
      </c>
      <c r="J86" s="48">
        <f>TravisTuftsEVENT</f>
        <v>0</v>
      </c>
      <c r="K86" s="22">
        <f t="shared" si="12"/>
        <v>1</v>
      </c>
      <c r="L86" s="21">
        <f t="shared" si="13"/>
        <v>1.3176666666666668</v>
      </c>
      <c r="M86" s="67">
        <f>TravisTuftsSALES</f>
        <v>19765</v>
      </c>
      <c r="N86" s="69">
        <v>0</v>
      </c>
      <c r="O86" s="14">
        <v>2022</v>
      </c>
    </row>
    <row r="87" spans="1:15" ht="15.75" thickBot="1" x14ac:dyDescent="0.3">
      <c r="A87" s="5" t="s">
        <v>0</v>
      </c>
      <c r="B87" s="5" t="s">
        <v>164</v>
      </c>
      <c r="C87" s="6" t="s">
        <v>165</v>
      </c>
      <c r="D87" s="76" t="str">
        <f t="shared" si="14"/>
        <v/>
      </c>
      <c r="E87" s="78" t="str">
        <f t="shared" si="15"/>
        <v/>
      </c>
      <c r="F87" s="12">
        <f t="shared" si="10"/>
        <v>4</v>
      </c>
      <c r="G87" s="106">
        <f t="shared" si="11"/>
        <v>4</v>
      </c>
      <c r="H87" s="109">
        <f t="shared" si="16"/>
        <v>1</v>
      </c>
      <c r="I87" s="75">
        <f>LukasTvedtMEMB</f>
        <v>4</v>
      </c>
      <c r="J87" s="48">
        <f>LukasTvedtEVENT</f>
        <v>0</v>
      </c>
      <c r="K87" s="22">
        <f t="shared" si="12"/>
        <v>0</v>
      </c>
      <c r="L87" s="21">
        <f t="shared" si="13"/>
        <v>0.33</v>
      </c>
      <c r="M87" s="67">
        <f>LukasTvedtSALES</f>
        <v>4950</v>
      </c>
      <c r="N87" s="69">
        <v>0</v>
      </c>
      <c r="O87" s="14">
        <v>2021</v>
      </c>
    </row>
    <row r="88" spans="1:15" ht="15.75" thickBot="1" x14ac:dyDescent="0.3">
      <c r="A88" s="5" t="s">
        <v>0</v>
      </c>
      <c r="B88" s="5" t="s">
        <v>167</v>
      </c>
      <c r="C88" s="6" t="s">
        <v>18</v>
      </c>
      <c r="D88" s="76" t="str">
        <f t="shared" si="14"/>
        <v/>
      </c>
      <c r="E88" s="78" t="str">
        <f t="shared" si="15"/>
        <v/>
      </c>
      <c r="F88" s="12">
        <f t="shared" si="10"/>
        <v>8</v>
      </c>
      <c r="G88" s="106">
        <f t="shared" si="11"/>
        <v>16</v>
      </c>
      <c r="H88" s="109">
        <f t="shared" si="16"/>
        <v>2</v>
      </c>
      <c r="I88" s="75">
        <f>MikeVasquezMEMB</f>
        <v>9</v>
      </c>
      <c r="J88" s="48">
        <f>MikeVasquezEVENT</f>
        <v>6</v>
      </c>
      <c r="K88" s="22">
        <f t="shared" si="12"/>
        <v>1</v>
      </c>
      <c r="L88" s="21">
        <f t="shared" si="13"/>
        <v>1.1593333333333333</v>
      </c>
      <c r="M88" s="67">
        <f>MikeVasquezSALES</f>
        <v>17390</v>
      </c>
      <c r="N88" s="69">
        <v>0</v>
      </c>
      <c r="O88" s="14">
        <v>2017</v>
      </c>
    </row>
    <row r="89" spans="1:15" ht="15.75" thickBot="1" x14ac:dyDescent="0.3">
      <c r="A89" s="5" t="s">
        <v>0</v>
      </c>
      <c r="B89" s="5" t="s">
        <v>168</v>
      </c>
      <c r="C89" s="6" t="s">
        <v>82</v>
      </c>
      <c r="D89" s="76" t="str">
        <f t="shared" si="14"/>
        <v/>
      </c>
      <c r="E89" s="78" t="str">
        <f t="shared" si="15"/>
        <v/>
      </c>
      <c r="F89" s="12">
        <f t="shared" si="10"/>
        <v>2</v>
      </c>
      <c r="G89" s="106">
        <f t="shared" si="11"/>
        <v>3</v>
      </c>
      <c r="H89" s="109">
        <f t="shared" si="16"/>
        <v>1.5</v>
      </c>
      <c r="I89" s="75">
        <f>EricVaughanMEMB</f>
        <v>2</v>
      </c>
      <c r="J89" s="48">
        <f>EricVaughanEVENT</f>
        <v>0</v>
      </c>
      <c r="K89" s="22">
        <f t="shared" si="12"/>
        <v>1</v>
      </c>
      <c r="L89" s="21">
        <f t="shared" si="13"/>
        <v>1.1266666666666667</v>
      </c>
      <c r="M89" s="67">
        <f>EricVaughanSALES</f>
        <v>16900</v>
      </c>
      <c r="N89" s="69">
        <v>0</v>
      </c>
      <c r="O89" s="14">
        <v>2023</v>
      </c>
    </row>
    <row r="90" spans="1:15" ht="15.75" thickBot="1" x14ac:dyDescent="0.3">
      <c r="A90" s="5" t="s">
        <v>0</v>
      </c>
      <c r="B90" s="5" t="s">
        <v>169</v>
      </c>
      <c r="C90" s="6" t="s">
        <v>155</v>
      </c>
      <c r="D90" s="76" t="str">
        <f t="shared" si="14"/>
        <v>ELIGIBLE</v>
      </c>
      <c r="E90" s="78" t="str">
        <f t="shared" si="15"/>
        <v/>
      </c>
      <c r="F90" s="12">
        <f t="shared" si="10"/>
        <v>14</v>
      </c>
      <c r="G90" s="106">
        <f t="shared" si="11"/>
        <v>47</v>
      </c>
      <c r="H90" s="109">
        <f t="shared" si="16"/>
        <v>3.3571428571428572</v>
      </c>
      <c r="I90" s="75">
        <f>SteveVorholzerMEMB</f>
        <v>22</v>
      </c>
      <c r="J90" s="48">
        <f>SteveVorholzerEVENT</f>
        <v>6</v>
      </c>
      <c r="K90" s="22">
        <f t="shared" si="12"/>
        <v>9</v>
      </c>
      <c r="L90" s="21">
        <f t="shared" si="13"/>
        <v>9.7206666666666663</v>
      </c>
      <c r="M90" s="67">
        <f>SteveVorholzerSALES</f>
        <v>145810</v>
      </c>
      <c r="N90" s="69">
        <v>10</v>
      </c>
      <c r="O90" s="14">
        <v>2011</v>
      </c>
    </row>
    <row r="91" spans="1:15" ht="15.75" thickBot="1" x14ac:dyDescent="0.3">
      <c r="A91" s="5" t="s">
        <v>0</v>
      </c>
      <c r="B91" s="5" t="s">
        <v>170</v>
      </c>
      <c r="C91" s="6" t="s">
        <v>75</v>
      </c>
      <c r="D91" s="76" t="str">
        <f t="shared" si="14"/>
        <v/>
      </c>
      <c r="E91" s="78" t="str">
        <f t="shared" si="15"/>
        <v/>
      </c>
      <c r="F91" s="12">
        <f t="shared" si="10"/>
        <v>7</v>
      </c>
      <c r="G91" s="106">
        <f t="shared" si="11"/>
        <v>13</v>
      </c>
      <c r="H91" s="109">
        <f t="shared" si="16"/>
        <v>1.8571428571428572</v>
      </c>
      <c r="I91" s="75">
        <f>JohnnyWardMEMB</f>
        <v>8</v>
      </c>
      <c r="J91" s="48">
        <f>JohnnyWardEVENT</f>
        <v>3</v>
      </c>
      <c r="K91" s="22">
        <f t="shared" si="12"/>
        <v>2</v>
      </c>
      <c r="L91" s="21">
        <f t="shared" si="13"/>
        <v>2.2029999999999998</v>
      </c>
      <c r="M91" s="67">
        <f>JohnnyWardSASLES</f>
        <v>33045</v>
      </c>
      <c r="N91" s="69">
        <v>0</v>
      </c>
      <c r="O91" s="14">
        <v>2018</v>
      </c>
    </row>
    <row r="92" spans="1:15" ht="15.75" thickBot="1" x14ac:dyDescent="0.3">
      <c r="A92" s="5" t="s">
        <v>0</v>
      </c>
      <c r="B92" s="5" t="s">
        <v>171</v>
      </c>
      <c r="C92" s="6" t="s">
        <v>172</v>
      </c>
      <c r="D92" s="76" t="str">
        <f t="shared" si="14"/>
        <v/>
      </c>
      <c r="E92" s="78" t="str">
        <f t="shared" si="15"/>
        <v/>
      </c>
      <c r="F92" s="12">
        <f t="shared" si="10"/>
        <v>5</v>
      </c>
      <c r="G92" s="106">
        <f t="shared" si="11"/>
        <v>12</v>
      </c>
      <c r="H92" s="109">
        <f t="shared" si="16"/>
        <v>2.4</v>
      </c>
      <c r="I92" s="75">
        <f>TylerWarfieldMEMB</f>
        <v>5</v>
      </c>
      <c r="J92" s="48">
        <f>TylerWarfieldEVENT</f>
        <v>0</v>
      </c>
      <c r="K92" s="22">
        <f t="shared" si="12"/>
        <v>7</v>
      </c>
      <c r="L92" s="21">
        <f t="shared" si="13"/>
        <v>7.4376666666666669</v>
      </c>
      <c r="M92" s="67">
        <f>TylerWarfieldSALES</f>
        <v>111565</v>
      </c>
      <c r="N92" s="69">
        <v>0</v>
      </c>
      <c r="O92" s="14">
        <v>2020</v>
      </c>
    </row>
    <row r="93" spans="1:15" ht="15.75" thickBot="1" x14ac:dyDescent="0.3">
      <c r="A93" s="5" t="s">
        <v>0</v>
      </c>
      <c r="B93" s="5" t="s">
        <v>173</v>
      </c>
      <c r="C93" s="6" t="s">
        <v>50</v>
      </c>
      <c r="D93" s="76" t="str">
        <f t="shared" si="14"/>
        <v/>
      </c>
      <c r="E93" s="78" t="str">
        <f t="shared" si="15"/>
        <v/>
      </c>
      <c r="F93" s="12">
        <f t="shared" si="10"/>
        <v>7</v>
      </c>
      <c r="G93" s="106">
        <f t="shared" si="11"/>
        <v>14</v>
      </c>
      <c r="H93" s="109">
        <f t="shared" si="16"/>
        <v>2</v>
      </c>
      <c r="I93" s="75">
        <f>StevenZeilLerMEMB</f>
        <v>7</v>
      </c>
      <c r="J93" s="48">
        <f>StevenZeillerEVENT</f>
        <v>6</v>
      </c>
      <c r="K93" s="22">
        <f t="shared" si="12"/>
        <v>1</v>
      </c>
      <c r="L93" s="21">
        <f t="shared" si="13"/>
        <v>1.8440000000000001</v>
      </c>
      <c r="M93" s="67">
        <f>StevenZeillerSALES</f>
        <v>27660</v>
      </c>
      <c r="N93" s="69">
        <v>0</v>
      </c>
      <c r="O93" s="14">
        <v>2018</v>
      </c>
    </row>
    <row r="94" spans="1:15" ht="15.75" thickBot="1" x14ac:dyDescent="0.3">
      <c r="A94" s="91" t="s">
        <v>3</v>
      </c>
      <c r="B94" s="91" t="s">
        <v>4</v>
      </c>
      <c r="C94" s="92" t="s">
        <v>5</v>
      </c>
      <c r="D94" s="76" t="str">
        <f t="shared" si="14"/>
        <v/>
      </c>
      <c r="E94" s="78" t="str">
        <f t="shared" si="15"/>
        <v/>
      </c>
      <c r="F94" s="12">
        <f t="shared" si="10"/>
        <v>0</v>
      </c>
      <c r="G94" s="106">
        <f t="shared" si="11"/>
        <v>0</v>
      </c>
      <c r="H94" s="109" t="e">
        <f t="shared" si="16"/>
        <v>#DIV/0!</v>
      </c>
      <c r="I94" s="75">
        <f>ToddAdamsMEMB</f>
        <v>0</v>
      </c>
      <c r="J94" s="48">
        <f>ToddAdamsEVENT</f>
        <v>0</v>
      </c>
      <c r="K94" s="22">
        <f t="shared" si="12"/>
        <v>0</v>
      </c>
      <c r="L94" s="21">
        <f t="shared" si="13"/>
        <v>0</v>
      </c>
      <c r="M94" s="67">
        <f>ToddAdamsSALES</f>
        <v>0</v>
      </c>
      <c r="N94" s="69">
        <v>0</v>
      </c>
      <c r="O94" s="14">
        <v>2025</v>
      </c>
    </row>
    <row r="95" spans="1:15" ht="15.75" thickBot="1" x14ac:dyDescent="0.3">
      <c r="A95" s="91" t="s">
        <v>3</v>
      </c>
      <c r="B95" s="91" t="s">
        <v>29</v>
      </c>
      <c r="C95" s="92" t="s">
        <v>30</v>
      </c>
      <c r="D95" s="76" t="str">
        <f t="shared" si="14"/>
        <v/>
      </c>
      <c r="E95" s="78" t="str">
        <f t="shared" si="15"/>
        <v/>
      </c>
      <c r="F95" s="12">
        <f t="shared" si="10"/>
        <v>0</v>
      </c>
      <c r="G95" s="106">
        <f t="shared" si="11"/>
        <v>0</v>
      </c>
      <c r="H95" s="109" t="e">
        <f t="shared" si="16"/>
        <v>#DIV/0!</v>
      </c>
      <c r="I95" s="75">
        <f>DannyCasselberryMEMB</f>
        <v>0</v>
      </c>
      <c r="J95" s="48">
        <f>DannyCasselberryEVENT</f>
        <v>0</v>
      </c>
      <c r="K95" s="22">
        <f t="shared" si="12"/>
        <v>0</v>
      </c>
      <c r="L95" s="21">
        <f t="shared" si="13"/>
        <v>0</v>
      </c>
      <c r="M95" s="67">
        <f>DannyCasselberrySALES</f>
        <v>0</v>
      </c>
      <c r="N95" s="69">
        <v>0</v>
      </c>
      <c r="O95" s="14">
        <v>2025</v>
      </c>
    </row>
    <row r="96" spans="1:15" ht="15.75" thickBot="1" x14ac:dyDescent="0.3">
      <c r="A96" s="91" t="s">
        <v>3</v>
      </c>
      <c r="B96" s="91" t="s">
        <v>42</v>
      </c>
      <c r="C96" s="92" t="s">
        <v>43</v>
      </c>
      <c r="D96" s="76" t="str">
        <f t="shared" si="14"/>
        <v/>
      </c>
      <c r="E96" s="78" t="str">
        <f t="shared" si="15"/>
        <v/>
      </c>
      <c r="F96" s="12">
        <f t="shared" si="10"/>
        <v>0</v>
      </c>
      <c r="G96" s="106">
        <f t="shared" si="11"/>
        <v>0</v>
      </c>
      <c r="H96" s="109" t="e">
        <f t="shared" si="16"/>
        <v>#DIV/0!</v>
      </c>
      <c r="I96" s="75">
        <f>HiramCruzMEMB</f>
        <v>0</v>
      </c>
      <c r="J96" s="48">
        <f>HiramCruzEVENT</f>
        <v>0</v>
      </c>
      <c r="K96" s="22">
        <f t="shared" si="12"/>
        <v>0</v>
      </c>
      <c r="L96" s="21">
        <f t="shared" si="13"/>
        <v>0</v>
      </c>
      <c r="M96" s="67">
        <f>HiramCruzSALES</f>
        <v>0</v>
      </c>
      <c r="N96" s="69">
        <v>0</v>
      </c>
      <c r="O96" s="14">
        <v>2025</v>
      </c>
    </row>
    <row r="97" spans="1:15" ht="15.75" thickBot="1" x14ac:dyDescent="0.3">
      <c r="A97" s="91" t="s">
        <v>3</v>
      </c>
      <c r="B97" s="91" t="s">
        <v>66</v>
      </c>
      <c r="C97" s="92" t="s">
        <v>67</v>
      </c>
      <c r="D97" s="76" t="str">
        <f t="shared" si="14"/>
        <v/>
      </c>
      <c r="E97" s="78" t="str">
        <f t="shared" si="15"/>
        <v/>
      </c>
      <c r="F97" s="12">
        <f t="shared" si="10"/>
        <v>0</v>
      </c>
      <c r="G97" s="106">
        <f t="shared" si="11"/>
        <v>0</v>
      </c>
      <c r="H97" s="109" t="e">
        <f t="shared" si="16"/>
        <v>#DIV/0!</v>
      </c>
      <c r="I97" s="75">
        <f>FrankGomezMEMB</f>
        <v>0</v>
      </c>
      <c r="J97" s="48">
        <f>FrankGomezEVENT</f>
        <v>0</v>
      </c>
      <c r="K97" s="22">
        <f t="shared" si="12"/>
        <v>0</v>
      </c>
      <c r="L97" s="21">
        <f t="shared" si="13"/>
        <v>0</v>
      </c>
      <c r="M97" s="67">
        <f>FrankGomezSALES</f>
        <v>0</v>
      </c>
      <c r="N97" s="69">
        <v>0</v>
      </c>
      <c r="O97" s="14">
        <v>2025</v>
      </c>
    </row>
    <row r="98" spans="1:15" ht="15.75" thickBot="1" x14ac:dyDescent="0.3">
      <c r="A98" s="91" t="s">
        <v>3</v>
      </c>
      <c r="B98" s="91" t="s">
        <v>106</v>
      </c>
      <c r="C98" s="92" t="s">
        <v>107</v>
      </c>
      <c r="D98" s="76" t="str">
        <f t="shared" si="14"/>
        <v/>
      </c>
      <c r="E98" s="78" t="str">
        <f t="shared" si="15"/>
        <v/>
      </c>
      <c r="F98" s="12">
        <f t="shared" si="10"/>
        <v>0</v>
      </c>
      <c r="G98" s="106">
        <f t="shared" si="11"/>
        <v>0</v>
      </c>
      <c r="H98" s="109" t="e">
        <f t="shared" si="16"/>
        <v>#DIV/0!</v>
      </c>
      <c r="I98" s="75">
        <f>NicoMayerMEMB</f>
        <v>0</v>
      </c>
      <c r="J98" s="48">
        <f>NicoMayerEVENT</f>
        <v>0</v>
      </c>
      <c r="K98" s="22">
        <f t="shared" si="12"/>
        <v>0</v>
      </c>
      <c r="L98" s="21">
        <f t="shared" si="13"/>
        <v>0</v>
      </c>
      <c r="M98" s="67">
        <f>NicoMayerSALES</f>
        <v>0</v>
      </c>
      <c r="N98" s="69">
        <v>0</v>
      </c>
      <c r="O98" s="14">
        <v>2025</v>
      </c>
    </row>
    <row r="99" spans="1:15" ht="15.75" thickBot="1" x14ac:dyDescent="0.3">
      <c r="A99" s="91" t="s">
        <v>3</v>
      </c>
      <c r="B99" s="91" t="s">
        <v>142</v>
      </c>
      <c r="C99" s="92" t="s">
        <v>139</v>
      </c>
      <c r="D99" s="76" t="str">
        <f t="shared" si="14"/>
        <v/>
      </c>
      <c r="E99" s="78" t="str">
        <f t="shared" si="15"/>
        <v/>
      </c>
      <c r="F99" s="12">
        <f t="shared" si="10"/>
        <v>0</v>
      </c>
      <c r="G99" s="106">
        <f t="shared" si="11"/>
        <v>0</v>
      </c>
      <c r="H99" s="109" t="e">
        <f t="shared" si="16"/>
        <v>#DIV/0!</v>
      </c>
      <c r="I99" s="75">
        <f>JasonSabourinMEMB</f>
        <v>0</v>
      </c>
      <c r="J99" s="48">
        <f>JasonSabourinEVENT</f>
        <v>0</v>
      </c>
      <c r="K99" s="22">
        <f t="shared" ref="K99:K102" si="17">ROUNDDOWN(L99,0)</f>
        <v>0</v>
      </c>
      <c r="L99" s="21">
        <f t="shared" ref="L99:L102" si="18">SUM(M99/15000)</f>
        <v>0</v>
      </c>
      <c r="M99" s="67">
        <f>JasonSabourinSALES</f>
        <v>0</v>
      </c>
      <c r="N99" s="69">
        <v>0</v>
      </c>
      <c r="O99" s="14">
        <v>2025</v>
      </c>
    </row>
    <row r="100" spans="1:15" ht="15.75" thickBot="1" x14ac:dyDescent="0.3">
      <c r="A100" s="91" t="s">
        <v>3</v>
      </c>
      <c r="B100" s="91" t="s">
        <v>142</v>
      </c>
      <c r="C100" s="92" t="s">
        <v>143</v>
      </c>
      <c r="D100" s="76" t="str">
        <f t="shared" si="14"/>
        <v/>
      </c>
      <c r="E100" s="78" t="str">
        <f t="shared" si="15"/>
        <v/>
      </c>
      <c r="F100" s="12">
        <f t="shared" si="10"/>
        <v>0</v>
      </c>
      <c r="G100" s="106">
        <f t="shared" si="11"/>
        <v>0</v>
      </c>
      <c r="H100" s="109" t="e">
        <f t="shared" si="16"/>
        <v>#DIV/0!</v>
      </c>
      <c r="I100" s="75">
        <f>JeremySabourinMEMB</f>
        <v>0</v>
      </c>
      <c r="J100" s="48">
        <f>JeremySabourinEVENT</f>
        <v>0</v>
      </c>
      <c r="K100" s="22">
        <f t="shared" si="17"/>
        <v>0</v>
      </c>
      <c r="L100" s="21">
        <f t="shared" si="18"/>
        <v>0</v>
      </c>
      <c r="M100" s="67">
        <f>JeremySabourinSALES</f>
        <v>0</v>
      </c>
      <c r="N100" s="69">
        <v>0</v>
      </c>
      <c r="O100" s="14">
        <v>2025</v>
      </c>
    </row>
    <row r="101" spans="1:15" ht="15.75" thickBot="1" x14ac:dyDescent="0.3">
      <c r="A101" s="91" t="s">
        <v>3</v>
      </c>
      <c r="B101" s="91" t="s">
        <v>145</v>
      </c>
      <c r="C101" s="92" t="s">
        <v>146</v>
      </c>
      <c r="D101" s="76" t="str">
        <f t="shared" si="14"/>
        <v/>
      </c>
      <c r="E101" s="78" t="str">
        <f t="shared" si="15"/>
        <v/>
      </c>
      <c r="F101" s="12">
        <f t="shared" si="10"/>
        <v>0</v>
      </c>
      <c r="G101" s="106">
        <f t="shared" si="11"/>
        <v>0</v>
      </c>
      <c r="H101" s="109" t="e">
        <f t="shared" si="16"/>
        <v>#DIV/0!</v>
      </c>
      <c r="I101" s="75">
        <f>KennySarnoskiMEMB</f>
        <v>0</v>
      </c>
      <c r="J101" s="48">
        <f>KennySarnoskiEVENT</f>
        <v>0</v>
      </c>
      <c r="K101" s="22">
        <f t="shared" si="17"/>
        <v>0</v>
      </c>
      <c r="L101" s="21">
        <f t="shared" si="18"/>
        <v>0</v>
      </c>
      <c r="M101" s="67">
        <f>KennySarnoskiSALES</f>
        <v>0</v>
      </c>
      <c r="N101" s="69">
        <v>0</v>
      </c>
      <c r="O101" s="14">
        <v>2025</v>
      </c>
    </row>
    <row r="102" spans="1:15" ht="15.75" thickBot="1" x14ac:dyDescent="0.3">
      <c r="A102" s="91" t="s">
        <v>3</v>
      </c>
      <c r="B102" s="91" t="s">
        <v>166</v>
      </c>
      <c r="C102" s="92" t="s">
        <v>84</v>
      </c>
      <c r="D102" s="76" t="str">
        <f t="shared" si="14"/>
        <v/>
      </c>
      <c r="E102" s="79" t="str">
        <f t="shared" si="15"/>
        <v/>
      </c>
      <c r="F102" s="12">
        <f t="shared" si="10"/>
        <v>0</v>
      </c>
      <c r="G102" s="106">
        <f t="shared" si="11"/>
        <v>0</v>
      </c>
      <c r="H102" s="109" t="e">
        <f t="shared" si="16"/>
        <v>#DIV/0!</v>
      </c>
      <c r="I102" s="75">
        <f>JordanUnderhillMEMB</f>
        <v>0</v>
      </c>
      <c r="J102" s="48">
        <f>JordanUnderhillEVENT</f>
        <v>0</v>
      </c>
      <c r="K102" s="22">
        <f t="shared" si="17"/>
        <v>0</v>
      </c>
      <c r="L102" s="21">
        <f t="shared" si="18"/>
        <v>0</v>
      </c>
      <c r="M102" s="67">
        <f>JordanUnderhillSALES</f>
        <v>0</v>
      </c>
      <c r="N102" s="69">
        <v>0</v>
      </c>
      <c r="O102" s="14">
        <v>2025</v>
      </c>
    </row>
    <row r="103" spans="1:15" ht="15.75" thickTop="1" x14ac:dyDescent="0.25"/>
  </sheetData>
  <mergeCells count="6">
    <mergeCell ref="Q2:R2"/>
    <mergeCell ref="A1:C1"/>
    <mergeCell ref="J1:M1"/>
    <mergeCell ref="D1:E1"/>
    <mergeCell ref="F1:F2"/>
    <mergeCell ref="G1:H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1FC46-922C-4A59-AEA1-8BDCBC283A47}">
  <dimension ref="A1:AV101"/>
  <sheetViews>
    <sheetView showGridLines="0" workbookViewId="0">
      <pane ySplit="1" topLeftCell="A76" activePane="bottomLeft" state="frozen"/>
      <selection pane="bottomLeft" activeCell="R77" sqref="R77"/>
    </sheetView>
  </sheetViews>
  <sheetFormatPr defaultRowHeight="14.25" x14ac:dyDescent="0.2"/>
  <cols>
    <col min="1" max="1" width="9" style="32"/>
    <col min="2" max="2" width="9.375" style="32" customWidth="1"/>
    <col min="3" max="3" width="7.75" style="50" customWidth="1"/>
    <col min="4" max="4" width="2.625" style="33" customWidth="1"/>
    <col min="5" max="5" width="16.625" style="34" customWidth="1"/>
    <col min="6" max="6" width="2.625" style="34" customWidth="1"/>
    <col min="7" max="7" width="16.625" style="34" customWidth="1"/>
    <col min="8" max="8" width="2.625" style="34" customWidth="1"/>
    <col min="9" max="9" width="16.625" style="34" customWidth="1"/>
    <col min="10" max="10" width="2.625" style="34" customWidth="1"/>
    <col min="11" max="11" width="16.625" style="34" customWidth="1"/>
    <col min="12" max="12" width="2.625" style="34" customWidth="1"/>
    <col min="13" max="13" width="16.625" style="34" customWidth="1"/>
    <col min="14" max="14" width="2.625" style="34" customWidth="1"/>
    <col min="15" max="15" width="16.625" style="31" customWidth="1"/>
    <col min="16" max="16" width="2.625" style="31" customWidth="1"/>
    <col min="17" max="17" width="16.625" style="34" customWidth="1"/>
    <col min="18" max="18" width="2.625" style="34" customWidth="1"/>
    <col min="19" max="19" width="16.625" style="34" customWidth="1"/>
    <col min="20" max="20" width="2.625" style="32" customWidth="1"/>
    <col min="21" max="21" width="9" customWidth="1"/>
    <col min="22" max="22" width="2.625" style="32" customWidth="1"/>
    <col min="23" max="23" width="9" customWidth="1"/>
    <col min="24" max="24" width="2.625" style="31" customWidth="1"/>
    <col min="25" max="25" width="9" style="34" customWidth="1"/>
    <col min="26" max="26" width="2.625" style="34" customWidth="1"/>
    <col min="27" max="27" width="9" style="34" customWidth="1"/>
    <col min="28" max="28" width="2.625" style="32" customWidth="1"/>
    <col min="29" max="29" width="9" customWidth="1"/>
    <col min="30" max="30" width="2.625" style="32" customWidth="1"/>
    <col min="31" max="31" width="9" customWidth="1"/>
    <col min="32" max="32" width="2.625" style="34" customWidth="1"/>
    <col min="33" max="33" width="9" style="34" customWidth="1"/>
    <col min="34" max="34" width="2.625" style="32" customWidth="1"/>
    <col min="35" max="35" width="9" customWidth="1"/>
    <col min="36" max="36" width="2.625" style="32" customWidth="1"/>
    <col min="37" max="37" width="9" customWidth="1"/>
    <col min="38" max="38" width="2.625" style="32" customWidth="1"/>
    <col min="39" max="39" width="9" customWidth="1"/>
    <col min="40" max="40" width="2.625" style="32" customWidth="1"/>
    <col min="41" max="41" width="9" customWidth="1"/>
    <col min="42" max="42" width="2.75" customWidth="1"/>
    <col min="43" max="44" width="8" style="2" customWidth="1"/>
    <col min="45" max="45" width="58.75" style="2" customWidth="1"/>
    <col min="46" max="46" width="26" style="102" customWidth="1"/>
    <col min="48" max="48" width="60.375" bestFit="1" customWidth="1"/>
  </cols>
  <sheetData>
    <row r="1" spans="1:48" x14ac:dyDescent="0.2">
      <c r="A1" s="29" t="s">
        <v>177</v>
      </c>
      <c r="B1" s="29" t="s">
        <v>178</v>
      </c>
      <c r="C1" s="30" t="s">
        <v>174</v>
      </c>
      <c r="D1" s="145">
        <v>2017</v>
      </c>
      <c r="E1" s="146"/>
      <c r="F1" s="145">
        <v>2018</v>
      </c>
      <c r="G1" s="146"/>
      <c r="H1" s="145">
        <v>2019</v>
      </c>
      <c r="I1" s="146"/>
      <c r="J1" s="145">
        <v>2020</v>
      </c>
      <c r="K1" s="146"/>
      <c r="L1" s="145">
        <v>2021</v>
      </c>
      <c r="M1" s="146"/>
      <c r="N1" s="145">
        <v>2022</v>
      </c>
      <c r="O1" s="146"/>
      <c r="P1" s="145">
        <v>2023</v>
      </c>
      <c r="Q1" s="146"/>
      <c r="R1" s="145">
        <v>2024</v>
      </c>
      <c r="S1" s="146"/>
      <c r="T1" s="145">
        <v>2025</v>
      </c>
      <c r="U1" s="146"/>
      <c r="V1" s="145">
        <v>2026</v>
      </c>
      <c r="W1" s="146"/>
      <c r="X1" s="145">
        <v>2027</v>
      </c>
      <c r="Y1" s="146"/>
      <c r="Z1" s="145">
        <v>2028</v>
      </c>
      <c r="AA1" s="146"/>
      <c r="AB1" s="145">
        <v>2029</v>
      </c>
      <c r="AC1" s="146"/>
      <c r="AD1" s="145">
        <v>2030</v>
      </c>
      <c r="AE1" s="146"/>
      <c r="AF1" s="145">
        <v>2031</v>
      </c>
      <c r="AG1" s="146"/>
      <c r="AH1" s="145">
        <v>2032</v>
      </c>
      <c r="AI1" s="146"/>
      <c r="AJ1" s="145">
        <v>2033</v>
      </c>
      <c r="AK1" s="146"/>
      <c r="AL1" s="145">
        <v>2034</v>
      </c>
      <c r="AM1" s="146"/>
      <c r="AN1" s="145">
        <v>2035</v>
      </c>
      <c r="AO1" s="146"/>
    </row>
    <row r="2" spans="1:48" x14ac:dyDescent="0.2">
      <c r="A2" s="47" t="s">
        <v>1</v>
      </c>
      <c r="B2" s="47" t="s">
        <v>2</v>
      </c>
      <c r="C2" s="51">
        <f t="shared" ref="C2" si="0">SUM(D2+F2+H2+J2+L2+N2+P2+R2+T2+V2+X2+Z2+AB2+AD2+AF2+AH2+AJ2+AL2+AN2)</f>
        <v>8</v>
      </c>
      <c r="D2" s="71">
        <v>1</v>
      </c>
      <c r="E2" s="36"/>
      <c r="F2" s="71">
        <v>1</v>
      </c>
      <c r="G2" s="36"/>
      <c r="H2" s="71">
        <v>1</v>
      </c>
      <c r="I2" s="36"/>
      <c r="J2" s="71">
        <v>1</v>
      </c>
      <c r="K2" s="43"/>
      <c r="L2" s="71">
        <v>1</v>
      </c>
      <c r="M2" s="36"/>
      <c r="N2" s="71">
        <v>1</v>
      </c>
      <c r="O2" s="36"/>
      <c r="P2" s="71">
        <v>1</v>
      </c>
      <c r="Q2" s="37"/>
      <c r="R2" s="71">
        <v>1</v>
      </c>
      <c r="S2" s="37"/>
      <c r="T2" s="71"/>
      <c r="U2" s="39"/>
      <c r="V2" s="71"/>
      <c r="W2" s="39"/>
      <c r="X2" s="71"/>
      <c r="Y2" s="37"/>
      <c r="Z2" s="71"/>
      <c r="AA2" s="37"/>
      <c r="AB2" s="71"/>
      <c r="AC2" s="39"/>
      <c r="AD2" s="71"/>
      <c r="AE2" s="39"/>
      <c r="AF2" s="71"/>
      <c r="AG2" s="37"/>
      <c r="AH2" s="71"/>
      <c r="AI2" s="39"/>
      <c r="AJ2" s="71"/>
      <c r="AK2" s="39"/>
      <c r="AL2" s="71"/>
      <c r="AN2" s="71"/>
      <c r="AO2" s="39"/>
      <c r="AU2" s="147"/>
      <c r="AV2" s="147"/>
    </row>
    <row r="3" spans="1:48" ht="15.75" customHeight="1" x14ac:dyDescent="0.2">
      <c r="A3" s="47" t="s">
        <v>6</v>
      </c>
      <c r="B3" s="47" t="s">
        <v>7</v>
      </c>
      <c r="C3" s="51">
        <f>SUM(D3+F3+H3+J3+L3+N3+P3+R3+T3+V3+X3+Z3+AB3+AD3+AF3+AH3+AJ3+AL3+AN3)</f>
        <v>30</v>
      </c>
      <c r="D3" s="72">
        <v>1</v>
      </c>
      <c r="E3" s="36"/>
      <c r="F3" s="72">
        <v>5</v>
      </c>
      <c r="G3" s="36" t="s">
        <v>234</v>
      </c>
      <c r="H3" s="72">
        <v>5</v>
      </c>
      <c r="I3" s="36" t="s">
        <v>235</v>
      </c>
      <c r="J3" s="72">
        <v>5</v>
      </c>
      <c r="K3" s="36" t="s">
        <v>235</v>
      </c>
      <c r="L3" s="72">
        <v>5</v>
      </c>
      <c r="M3" s="36" t="s">
        <v>235</v>
      </c>
      <c r="N3" s="72">
        <v>1</v>
      </c>
      <c r="O3" s="36"/>
      <c r="P3" s="72">
        <v>4</v>
      </c>
      <c r="Q3" s="37" t="s">
        <v>239</v>
      </c>
      <c r="R3" s="72">
        <v>4</v>
      </c>
      <c r="S3" s="37" t="s">
        <v>239</v>
      </c>
      <c r="T3" s="72"/>
      <c r="U3" s="39"/>
      <c r="V3" s="72"/>
      <c r="W3" s="39"/>
      <c r="X3" s="72"/>
      <c r="Y3" s="37"/>
      <c r="Z3" s="72"/>
      <c r="AA3" s="37"/>
      <c r="AB3" s="72"/>
      <c r="AC3" s="39"/>
      <c r="AD3" s="72"/>
      <c r="AE3" s="39"/>
      <c r="AF3" s="72"/>
      <c r="AG3" s="37"/>
      <c r="AH3" s="72"/>
      <c r="AI3" s="39"/>
      <c r="AJ3" s="72"/>
      <c r="AK3" s="39"/>
      <c r="AL3" s="72"/>
      <c r="AM3" s="39"/>
      <c r="AN3" s="72"/>
      <c r="AO3" s="39"/>
      <c r="AQ3" s="20" t="s">
        <v>174</v>
      </c>
      <c r="AR3" s="59" t="s">
        <v>226</v>
      </c>
      <c r="AS3" s="59" t="s">
        <v>212</v>
      </c>
      <c r="AU3" s="60"/>
      <c r="AV3" s="18"/>
    </row>
    <row r="4" spans="1:48" x14ac:dyDescent="0.2">
      <c r="A4" s="47" t="s">
        <v>10</v>
      </c>
      <c r="B4" s="47" t="s">
        <v>11</v>
      </c>
      <c r="C4" s="51">
        <f t="shared" ref="C4:C63" si="1">SUM(D4+F4+H4+J4+L4+N4+P4+R4+T4+V4+X4+Z4+AB4+AD4+AF4+AH4+AJ4+AL4+AN4)</f>
        <v>1</v>
      </c>
      <c r="D4" s="98">
        <v>0</v>
      </c>
      <c r="E4" s="99"/>
      <c r="F4" s="98">
        <v>0</v>
      </c>
      <c r="G4" s="99"/>
      <c r="H4" s="98">
        <v>0</v>
      </c>
      <c r="I4" s="99"/>
      <c r="J4" s="98">
        <v>0</v>
      </c>
      <c r="K4" s="100"/>
      <c r="L4" s="98">
        <v>0</v>
      </c>
      <c r="M4" s="99"/>
      <c r="N4" s="98">
        <v>0</v>
      </c>
      <c r="O4" s="99"/>
      <c r="P4" s="98">
        <v>0</v>
      </c>
      <c r="Q4" s="101"/>
      <c r="R4" s="72">
        <v>1</v>
      </c>
      <c r="S4" s="37"/>
      <c r="T4" s="72"/>
      <c r="U4" s="39"/>
      <c r="V4" s="72"/>
      <c r="W4" s="39"/>
      <c r="X4" s="72"/>
      <c r="Y4" s="37"/>
      <c r="Z4" s="72"/>
      <c r="AA4" s="37"/>
      <c r="AB4" s="72"/>
      <c r="AC4" s="39"/>
      <c r="AD4" s="72"/>
      <c r="AE4" s="39"/>
      <c r="AF4" s="72"/>
      <c r="AG4" s="37"/>
      <c r="AH4" s="72"/>
      <c r="AI4" s="39"/>
      <c r="AJ4" s="72"/>
      <c r="AK4" s="39"/>
      <c r="AL4" s="72"/>
      <c r="AM4" s="39"/>
      <c r="AN4" s="72"/>
      <c r="AO4" s="39"/>
      <c r="AQ4" s="2">
        <v>5</v>
      </c>
      <c r="AR4" s="102" t="s">
        <v>229</v>
      </c>
      <c r="AS4" s="102" t="s">
        <v>197</v>
      </c>
      <c r="AU4" s="18"/>
    </row>
    <row r="5" spans="1:48" x14ac:dyDescent="0.2">
      <c r="A5" s="47" t="s">
        <v>12</v>
      </c>
      <c r="B5" s="47" t="s">
        <v>13</v>
      </c>
      <c r="C5" s="51">
        <f t="shared" si="1"/>
        <v>8</v>
      </c>
      <c r="D5" s="72">
        <v>1</v>
      </c>
      <c r="E5" s="36"/>
      <c r="F5" s="72">
        <v>1</v>
      </c>
      <c r="G5" s="36"/>
      <c r="H5" s="72">
        <v>1</v>
      </c>
      <c r="I5" s="36"/>
      <c r="J5" s="72">
        <v>1</v>
      </c>
      <c r="K5" s="43"/>
      <c r="L5" s="72">
        <v>1</v>
      </c>
      <c r="M5" s="36"/>
      <c r="N5" s="72">
        <v>1</v>
      </c>
      <c r="O5" s="36"/>
      <c r="P5" s="72">
        <v>1</v>
      </c>
      <c r="Q5" s="37"/>
      <c r="R5" s="72">
        <v>1</v>
      </c>
      <c r="S5" s="37"/>
      <c r="T5" s="72"/>
      <c r="U5" s="39"/>
      <c r="V5" s="72"/>
      <c r="W5" s="39"/>
      <c r="X5" s="72"/>
      <c r="Y5" s="37"/>
      <c r="Z5" s="72"/>
      <c r="AA5" s="37"/>
      <c r="AB5" s="72"/>
      <c r="AC5" s="39"/>
      <c r="AD5" s="72"/>
      <c r="AE5" s="39"/>
      <c r="AF5" s="72"/>
      <c r="AG5" s="37"/>
      <c r="AH5" s="72"/>
      <c r="AI5" s="39"/>
      <c r="AJ5" s="72"/>
      <c r="AK5" s="39"/>
      <c r="AL5" s="72"/>
      <c r="AM5" s="39"/>
      <c r="AN5" s="72"/>
      <c r="AO5" s="39"/>
      <c r="AQ5" s="2">
        <v>4</v>
      </c>
      <c r="AR5" s="102" t="s">
        <v>233</v>
      </c>
      <c r="AS5" s="102" t="s">
        <v>202</v>
      </c>
    </row>
    <row r="6" spans="1:48" x14ac:dyDescent="0.2">
      <c r="A6" s="47" t="s">
        <v>14</v>
      </c>
      <c r="B6" s="47" t="s">
        <v>15</v>
      </c>
      <c r="C6" s="51">
        <f t="shared" si="1"/>
        <v>27</v>
      </c>
      <c r="D6" s="72">
        <v>2</v>
      </c>
      <c r="E6" s="36" t="s">
        <v>337</v>
      </c>
      <c r="F6" s="72">
        <v>2</v>
      </c>
      <c r="G6" s="36" t="s">
        <v>337</v>
      </c>
      <c r="H6" s="72">
        <v>4</v>
      </c>
      <c r="I6" s="36" t="s">
        <v>242</v>
      </c>
      <c r="J6" s="72">
        <v>5</v>
      </c>
      <c r="K6" s="43" t="s">
        <v>241</v>
      </c>
      <c r="L6" s="72">
        <v>4</v>
      </c>
      <c r="M6" s="36" t="s">
        <v>242</v>
      </c>
      <c r="N6" s="72">
        <v>4</v>
      </c>
      <c r="O6" s="36" t="s">
        <v>242</v>
      </c>
      <c r="P6" s="72">
        <v>4</v>
      </c>
      <c r="Q6" s="36" t="s">
        <v>242</v>
      </c>
      <c r="R6" s="72">
        <v>2</v>
      </c>
      <c r="S6" s="37" t="s">
        <v>311</v>
      </c>
      <c r="T6" s="72"/>
      <c r="U6" s="39"/>
      <c r="V6" s="72"/>
      <c r="W6" s="39"/>
      <c r="X6" s="72"/>
      <c r="Y6" s="37"/>
      <c r="Z6" s="72"/>
      <c r="AA6" s="37"/>
      <c r="AB6" s="72"/>
      <c r="AC6" s="39"/>
      <c r="AD6" s="72"/>
      <c r="AE6" s="39"/>
      <c r="AF6" s="72"/>
      <c r="AG6" s="37"/>
      <c r="AH6" s="72"/>
      <c r="AI6" s="39"/>
      <c r="AJ6" s="72"/>
      <c r="AK6" s="39"/>
      <c r="AL6" s="72"/>
      <c r="AM6" s="39"/>
      <c r="AN6" s="72"/>
      <c r="AO6" s="39"/>
      <c r="AQ6" s="2">
        <v>3</v>
      </c>
      <c r="AR6" s="102" t="s">
        <v>314</v>
      </c>
      <c r="AS6" s="102" t="s">
        <v>198</v>
      </c>
    </row>
    <row r="7" spans="1:48" x14ac:dyDescent="0.2">
      <c r="A7" s="47" t="s">
        <v>16</v>
      </c>
      <c r="B7" s="47" t="s">
        <v>17</v>
      </c>
      <c r="C7" s="51">
        <f t="shared" si="1"/>
        <v>7</v>
      </c>
      <c r="D7" s="98"/>
      <c r="E7" s="99"/>
      <c r="F7" s="98"/>
      <c r="G7" s="99"/>
      <c r="H7" s="98"/>
      <c r="I7" s="99"/>
      <c r="J7" s="98"/>
      <c r="K7" s="100"/>
      <c r="L7" s="72">
        <v>1</v>
      </c>
      <c r="M7" s="36"/>
      <c r="N7" s="72">
        <v>1</v>
      </c>
      <c r="O7" s="36"/>
      <c r="P7" s="72">
        <v>1</v>
      </c>
      <c r="Q7" s="37"/>
      <c r="R7" s="72">
        <v>4</v>
      </c>
      <c r="S7" s="37" t="s">
        <v>242</v>
      </c>
      <c r="T7" s="72"/>
      <c r="U7" s="39"/>
      <c r="V7" s="72"/>
      <c r="W7" s="39"/>
      <c r="X7" s="72"/>
      <c r="Y7" s="37"/>
      <c r="Z7" s="72"/>
      <c r="AA7" s="37"/>
      <c r="AB7" s="72"/>
      <c r="AC7" s="39"/>
      <c r="AD7" s="72"/>
      <c r="AE7" s="39"/>
      <c r="AF7" s="72"/>
      <c r="AG7" s="37"/>
      <c r="AH7" s="72"/>
      <c r="AI7" s="39"/>
      <c r="AJ7" s="72"/>
      <c r="AK7" s="39"/>
      <c r="AL7" s="72"/>
      <c r="AM7" s="39"/>
      <c r="AN7" s="72"/>
      <c r="AO7" s="39"/>
      <c r="AQ7" s="2">
        <v>3</v>
      </c>
      <c r="AR7" s="102" t="s">
        <v>224</v>
      </c>
      <c r="AS7" s="102" t="s">
        <v>206</v>
      </c>
    </row>
    <row r="8" spans="1:48" x14ac:dyDescent="0.2">
      <c r="A8" s="47" t="s">
        <v>19</v>
      </c>
      <c r="B8" s="47" t="s">
        <v>20</v>
      </c>
      <c r="C8" s="51">
        <f t="shared" si="1"/>
        <v>5</v>
      </c>
      <c r="D8" s="98"/>
      <c r="E8" s="99"/>
      <c r="F8" s="98"/>
      <c r="G8" s="99"/>
      <c r="H8" s="98"/>
      <c r="I8" s="99"/>
      <c r="J8" s="72">
        <v>1</v>
      </c>
      <c r="K8" s="43"/>
      <c r="L8" s="72">
        <v>1</v>
      </c>
      <c r="M8" s="36"/>
      <c r="N8" s="72">
        <v>1</v>
      </c>
      <c r="O8" s="36"/>
      <c r="P8" s="72">
        <v>1</v>
      </c>
      <c r="Q8" s="37"/>
      <c r="R8" s="72">
        <v>1</v>
      </c>
      <c r="S8" s="37"/>
      <c r="T8" s="72"/>
      <c r="U8" s="39"/>
      <c r="V8" s="72"/>
      <c r="W8" s="39"/>
      <c r="X8" s="72"/>
      <c r="Y8" s="37"/>
      <c r="Z8" s="72"/>
      <c r="AA8" s="37"/>
      <c r="AB8" s="72"/>
      <c r="AC8" s="39"/>
      <c r="AD8" s="72"/>
      <c r="AE8" s="39"/>
      <c r="AF8" s="72"/>
      <c r="AG8" s="37"/>
      <c r="AH8" s="72"/>
      <c r="AI8" s="39"/>
      <c r="AJ8" s="72"/>
      <c r="AK8" s="39"/>
      <c r="AL8" s="72"/>
      <c r="AM8" s="39"/>
      <c r="AN8" s="72"/>
      <c r="AO8" s="39"/>
      <c r="AQ8" s="2">
        <v>3</v>
      </c>
      <c r="AR8" s="102" t="s">
        <v>228</v>
      </c>
      <c r="AS8" s="102" t="s">
        <v>207</v>
      </c>
    </row>
    <row r="9" spans="1:48" x14ac:dyDescent="0.2">
      <c r="A9" s="47" t="s">
        <v>21</v>
      </c>
      <c r="B9" s="47" t="s">
        <v>22</v>
      </c>
      <c r="C9" s="51">
        <f t="shared" si="1"/>
        <v>23</v>
      </c>
      <c r="D9" s="72">
        <v>2</v>
      </c>
      <c r="E9" s="36" t="s">
        <v>222</v>
      </c>
      <c r="F9" s="72">
        <v>2</v>
      </c>
      <c r="G9" s="36" t="s">
        <v>222</v>
      </c>
      <c r="H9" s="72">
        <v>2</v>
      </c>
      <c r="I9" s="36" t="s">
        <v>338</v>
      </c>
      <c r="J9" s="72">
        <v>1</v>
      </c>
      <c r="K9" s="43"/>
      <c r="L9" s="72">
        <v>1</v>
      </c>
      <c r="M9" s="36"/>
      <c r="N9" s="72">
        <v>4</v>
      </c>
      <c r="O9" s="36" t="s">
        <v>255</v>
      </c>
      <c r="P9" s="72">
        <v>4</v>
      </c>
      <c r="Q9" s="37" t="s">
        <v>256</v>
      </c>
      <c r="R9" s="72">
        <v>7</v>
      </c>
      <c r="S9" s="37" t="s">
        <v>332</v>
      </c>
      <c r="T9" s="72"/>
      <c r="U9" s="39"/>
      <c r="V9" s="72"/>
      <c r="W9" s="39"/>
      <c r="X9" s="72"/>
      <c r="Y9" s="37"/>
      <c r="Z9" s="72"/>
      <c r="AA9" s="37"/>
      <c r="AB9" s="72"/>
      <c r="AC9" s="39"/>
      <c r="AD9" s="72"/>
      <c r="AE9" s="39"/>
      <c r="AF9" s="72"/>
      <c r="AG9" s="37"/>
      <c r="AH9" s="72"/>
      <c r="AI9" s="39"/>
      <c r="AJ9" s="72"/>
      <c r="AK9" s="39"/>
      <c r="AL9" s="72"/>
      <c r="AM9" s="39"/>
      <c r="AN9" s="72"/>
      <c r="AO9" s="39"/>
      <c r="AQ9" s="2">
        <v>3</v>
      </c>
      <c r="AR9" s="102" t="s">
        <v>232</v>
      </c>
      <c r="AS9" s="102" t="s">
        <v>201</v>
      </c>
    </row>
    <row r="10" spans="1:48" x14ac:dyDescent="0.2">
      <c r="A10" s="47" t="s">
        <v>24</v>
      </c>
      <c r="B10" s="47" t="s">
        <v>25</v>
      </c>
      <c r="C10" s="51">
        <f t="shared" si="1"/>
        <v>1</v>
      </c>
      <c r="D10" s="98"/>
      <c r="E10" s="99"/>
      <c r="F10" s="98"/>
      <c r="G10" s="99"/>
      <c r="H10" s="98"/>
      <c r="I10" s="99"/>
      <c r="J10" s="98"/>
      <c r="K10" s="100"/>
      <c r="L10" s="98"/>
      <c r="M10" s="99"/>
      <c r="N10" s="98"/>
      <c r="O10" s="99"/>
      <c r="P10" s="98"/>
      <c r="Q10" s="101"/>
      <c r="R10" s="72">
        <v>1</v>
      </c>
      <c r="S10" s="37"/>
      <c r="T10" s="72"/>
      <c r="U10" s="39"/>
      <c r="V10" s="72"/>
      <c r="W10" s="39"/>
      <c r="X10" s="72"/>
      <c r="Y10" s="37"/>
      <c r="Z10" s="72"/>
      <c r="AA10" s="37"/>
      <c r="AB10" s="72"/>
      <c r="AC10" s="39"/>
      <c r="AD10" s="72"/>
      <c r="AE10" s="39"/>
      <c r="AF10" s="72"/>
      <c r="AG10" s="37"/>
      <c r="AH10" s="72"/>
      <c r="AI10" s="39"/>
      <c r="AJ10" s="72"/>
      <c r="AK10" s="39"/>
      <c r="AL10" s="72"/>
      <c r="AM10" s="39"/>
      <c r="AN10" s="72"/>
      <c r="AO10" s="39"/>
      <c r="AQ10" s="2">
        <v>3</v>
      </c>
      <c r="AR10" s="102" t="s">
        <v>231</v>
      </c>
      <c r="AS10" s="102" t="s">
        <v>199</v>
      </c>
    </row>
    <row r="11" spans="1:48" x14ac:dyDescent="0.2">
      <c r="A11" s="47" t="s">
        <v>26</v>
      </c>
      <c r="B11" s="47" t="s">
        <v>8</v>
      </c>
      <c r="C11" s="51">
        <f t="shared" si="1"/>
        <v>8</v>
      </c>
      <c r="D11" s="72">
        <v>1</v>
      </c>
      <c r="E11" s="36"/>
      <c r="F11" s="72">
        <v>1</v>
      </c>
      <c r="G11" s="36"/>
      <c r="H11" s="72">
        <v>1</v>
      </c>
      <c r="I11" s="36"/>
      <c r="J11" s="72">
        <v>1</v>
      </c>
      <c r="K11" s="43"/>
      <c r="L11" s="72">
        <v>1</v>
      </c>
      <c r="M11" s="36"/>
      <c r="N11" s="72">
        <v>1</v>
      </c>
      <c r="O11" s="36"/>
      <c r="P11" s="72">
        <v>1</v>
      </c>
      <c r="Q11" s="37"/>
      <c r="R11" s="72">
        <v>1</v>
      </c>
      <c r="S11" s="37"/>
      <c r="T11" s="72"/>
      <c r="U11" s="39"/>
      <c r="V11" s="72"/>
      <c r="W11" s="39"/>
      <c r="X11" s="72"/>
      <c r="Y11" s="37"/>
      <c r="Z11" s="72"/>
      <c r="AA11" s="37"/>
      <c r="AB11" s="72"/>
      <c r="AC11" s="39"/>
      <c r="AD11" s="72"/>
      <c r="AE11" s="39"/>
      <c r="AF11" s="72"/>
      <c r="AG11" s="37"/>
      <c r="AH11" s="72"/>
      <c r="AI11" s="39"/>
      <c r="AJ11" s="72"/>
      <c r="AK11" s="39"/>
      <c r="AL11" s="72"/>
      <c r="AM11" s="39"/>
      <c r="AN11" s="72"/>
      <c r="AO11" s="39"/>
      <c r="AQ11" s="2">
        <v>2</v>
      </c>
      <c r="AR11" s="102" t="s">
        <v>225</v>
      </c>
      <c r="AS11" s="102" t="s">
        <v>208</v>
      </c>
    </row>
    <row r="12" spans="1:48" x14ac:dyDescent="0.2">
      <c r="A12" s="47" t="s">
        <v>27</v>
      </c>
      <c r="B12" s="47" t="s">
        <v>28</v>
      </c>
      <c r="C12" s="51">
        <f>SUM(D12+F12+H12+J12+L12+N12+P12+R12+T12+V12+X12+Z12+AB12+AD12+AF12+AH12+AJ12+AL12+AN12)</f>
        <v>10</v>
      </c>
      <c r="D12" s="72">
        <v>2</v>
      </c>
      <c r="E12" s="36" t="s">
        <v>223</v>
      </c>
      <c r="F12" s="72">
        <v>1</v>
      </c>
      <c r="G12" s="36"/>
      <c r="H12" s="72">
        <v>1</v>
      </c>
      <c r="I12" s="36"/>
      <c r="J12" s="72">
        <v>1</v>
      </c>
      <c r="K12" s="43"/>
      <c r="L12" s="72">
        <v>1</v>
      </c>
      <c r="M12" s="36"/>
      <c r="N12" s="72">
        <v>1</v>
      </c>
      <c r="O12" s="36"/>
      <c r="P12" s="72">
        <v>1</v>
      </c>
      <c r="Q12" s="37"/>
      <c r="R12" s="72">
        <v>2</v>
      </c>
      <c r="S12" s="37" t="s">
        <v>339</v>
      </c>
      <c r="T12" s="72"/>
      <c r="U12" s="39"/>
      <c r="V12" s="72"/>
      <c r="W12" s="39"/>
      <c r="X12" s="72"/>
      <c r="Y12" s="37"/>
      <c r="Z12" s="72"/>
      <c r="AA12" s="37"/>
      <c r="AB12" s="72"/>
      <c r="AC12" s="39"/>
      <c r="AD12" s="72"/>
      <c r="AE12" s="39"/>
      <c r="AF12" s="72"/>
      <c r="AG12" s="37"/>
      <c r="AH12" s="72"/>
      <c r="AI12" s="39"/>
      <c r="AJ12" s="72"/>
      <c r="AK12" s="39"/>
      <c r="AL12" s="72"/>
      <c r="AM12" s="39"/>
      <c r="AN12" s="72"/>
      <c r="AO12" s="39"/>
      <c r="AQ12" s="2">
        <v>1</v>
      </c>
      <c r="AR12" s="102" t="s">
        <v>221</v>
      </c>
      <c r="AS12" s="102" t="s">
        <v>205</v>
      </c>
    </row>
    <row r="13" spans="1:48" x14ac:dyDescent="0.2">
      <c r="A13" s="47" t="s">
        <v>32</v>
      </c>
      <c r="B13" s="47" t="s">
        <v>18</v>
      </c>
      <c r="C13" s="51">
        <f t="shared" si="1"/>
        <v>5</v>
      </c>
      <c r="D13" s="98"/>
      <c r="E13" s="99"/>
      <c r="F13" s="98"/>
      <c r="G13" s="99"/>
      <c r="H13" s="98"/>
      <c r="I13" s="99"/>
      <c r="J13" s="72">
        <v>1</v>
      </c>
      <c r="K13" s="43"/>
      <c r="L13" s="72">
        <v>1</v>
      </c>
      <c r="M13" s="36"/>
      <c r="N13" s="72">
        <v>1</v>
      </c>
      <c r="O13" s="36"/>
      <c r="P13" s="72">
        <v>1</v>
      </c>
      <c r="Q13" s="37"/>
      <c r="R13" s="72">
        <v>1</v>
      </c>
      <c r="S13" s="37"/>
      <c r="T13" s="72"/>
      <c r="U13" s="39"/>
      <c r="V13" s="72"/>
      <c r="W13" s="39"/>
      <c r="X13" s="72"/>
      <c r="Y13" s="37"/>
      <c r="Z13" s="72"/>
      <c r="AA13" s="37"/>
      <c r="AB13" s="72"/>
      <c r="AC13" s="39"/>
      <c r="AD13" s="72"/>
      <c r="AE13" s="39"/>
      <c r="AF13" s="72"/>
      <c r="AG13" s="37"/>
      <c r="AH13" s="72"/>
      <c r="AI13" s="39"/>
      <c r="AJ13" s="72"/>
      <c r="AK13" s="39"/>
      <c r="AL13" s="72"/>
      <c r="AM13" s="39"/>
      <c r="AN13" s="72"/>
      <c r="AO13" s="39"/>
      <c r="AQ13" s="2">
        <v>1</v>
      </c>
      <c r="AR13" s="102" t="s">
        <v>237</v>
      </c>
      <c r="AS13" s="102" t="s">
        <v>209</v>
      </c>
    </row>
    <row r="14" spans="1:48" x14ac:dyDescent="0.2">
      <c r="A14" s="47" t="s">
        <v>33</v>
      </c>
      <c r="B14" s="47" t="s">
        <v>17</v>
      </c>
      <c r="C14" s="51">
        <f t="shared" si="1"/>
        <v>5</v>
      </c>
      <c r="D14" s="98"/>
      <c r="E14" s="99"/>
      <c r="F14" s="98"/>
      <c r="G14" s="99"/>
      <c r="H14" s="98"/>
      <c r="I14" s="99"/>
      <c r="J14" s="72">
        <v>1</v>
      </c>
      <c r="K14" s="43"/>
      <c r="L14" s="72">
        <v>1</v>
      </c>
      <c r="M14" s="36"/>
      <c r="N14" s="72">
        <v>1</v>
      </c>
      <c r="O14" s="36"/>
      <c r="P14" s="72">
        <v>1</v>
      </c>
      <c r="Q14" s="37"/>
      <c r="R14" s="72">
        <v>1</v>
      </c>
      <c r="S14" s="37"/>
      <c r="T14" s="72"/>
      <c r="U14" s="39"/>
      <c r="V14" s="72"/>
      <c r="W14" s="39"/>
      <c r="X14" s="72"/>
      <c r="Y14" s="37"/>
      <c r="Z14" s="72"/>
      <c r="AA14" s="37"/>
      <c r="AB14" s="72"/>
      <c r="AC14" s="39"/>
      <c r="AD14" s="72"/>
      <c r="AE14" s="39"/>
      <c r="AF14" s="72"/>
      <c r="AG14" s="37"/>
      <c r="AH14" s="72"/>
      <c r="AI14" s="39"/>
      <c r="AJ14" s="72"/>
      <c r="AK14" s="39"/>
      <c r="AL14" s="72"/>
      <c r="AM14" s="39"/>
      <c r="AN14" s="72"/>
      <c r="AO14" s="39"/>
      <c r="AQ14" s="2">
        <v>1</v>
      </c>
      <c r="AR14" s="102" t="s">
        <v>238</v>
      </c>
      <c r="AS14" s="102" t="s">
        <v>204</v>
      </c>
    </row>
    <row r="15" spans="1:48" x14ac:dyDescent="0.2">
      <c r="A15" s="47" t="s">
        <v>34</v>
      </c>
      <c r="B15" s="47" t="s">
        <v>35</v>
      </c>
      <c r="C15" s="51">
        <f t="shared" si="1"/>
        <v>8</v>
      </c>
      <c r="D15" s="72">
        <v>1</v>
      </c>
      <c r="E15" s="36"/>
      <c r="F15" s="72">
        <v>1</v>
      </c>
      <c r="G15" s="36"/>
      <c r="H15" s="72">
        <v>1</v>
      </c>
      <c r="I15" s="36"/>
      <c r="J15" s="72">
        <v>1</v>
      </c>
      <c r="K15" s="43"/>
      <c r="L15" s="72">
        <v>1</v>
      </c>
      <c r="M15" s="36"/>
      <c r="N15" s="72">
        <v>1</v>
      </c>
      <c r="O15" s="36"/>
      <c r="P15" s="72">
        <v>1</v>
      </c>
      <c r="Q15" s="37"/>
      <c r="R15" s="72">
        <v>1</v>
      </c>
      <c r="S15" s="37"/>
      <c r="T15" s="72"/>
      <c r="U15" s="39"/>
      <c r="V15" s="72"/>
      <c r="W15" s="39"/>
      <c r="X15" s="72"/>
      <c r="Y15" s="37"/>
      <c r="Z15" s="72"/>
      <c r="AA15" s="37"/>
      <c r="AB15" s="72"/>
      <c r="AC15" s="39"/>
      <c r="AD15" s="72"/>
      <c r="AE15" s="39"/>
      <c r="AF15" s="72"/>
      <c r="AG15" s="37"/>
      <c r="AH15" s="72"/>
      <c r="AI15" s="39"/>
      <c r="AJ15" s="72"/>
      <c r="AK15" s="39"/>
      <c r="AL15" s="72"/>
      <c r="AM15" s="39"/>
      <c r="AN15" s="72"/>
      <c r="AO15" s="39"/>
      <c r="AQ15" s="2">
        <v>1</v>
      </c>
      <c r="AR15" s="102" t="s">
        <v>223</v>
      </c>
      <c r="AS15" s="102" t="s">
        <v>211</v>
      </c>
    </row>
    <row r="16" spans="1:48" x14ac:dyDescent="0.2">
      <c r="A16" s="47" t="s">
        <v>36</v>
      </c>
      <c r="B16" s="47" t="s">
        <v>37</v>
      </c>
      <c r="C16" s="51">
        <f t="shared" si="1"/>
        <v>5</v>
      </c>
      <c r="D16" s="98"/>
      <c r="E16" s="99"/>
      <c r="F16" s="98"/>
      <c r="G16" s="99"/>
      <c r="H16" s="98"/>
      <c r="I16" s="99"/>
      <c r="J16" s="72">
        <v>1</v>
      </c>
      <c r="K16" s="43"/>
      <c r="L16" s="72">
        <v>1</v>
      </c>
      <c r="M16" s="36"/>
      <c r="N16" s="72">
        <v>1</v>
      </c>
      <c r="O16" s="36"/>
      <c r="P16" s="72">
        <v>1</v>
      </c>
      <c r="Q16" s="37"/>
      <c r="R16" s="72">
        <v>1</v>
      </c>
      <c r="S16" s="37"/>
      <c r="T16" s="72"/>
      <c r="U16" s="39"/>
      <c r="V16" s="72"/>
      <c r="W16" s="39"/>
      <c r="X16" s="72"/>
      <c r="Y16" s="37"/>
      <c r="Z16" s="72"/>
      <c r="AA16" s="37"/>
      <c r="AB16" s="72"/>
      <c r="AC16" s="39"/>
      <c r="AD16" s="72"/>
      <c r="AE16" s="39"/>
      <c r="AF16" s="72"/>
      <c r="AG16" s="37"/>
      <c r="AH16" s="72"/>
      <c r="AI16" s="39"/>
      <c r="AJ16" s="72"/>
      <c r="AK16" s="39"/>
      <c r="AL16" s="72"/>
      <c r="AM16" s="39"/>
      <c r="AN16" s="72"/>
      <c r="AO16" s="39"/>
      <c r="AQ16" s="2">
        <v>1</v>
      </c>
      <c r="AR16" s="102" t="s">
        <v>230</v>
      </c>
      <c r="AS16" s="102" t="s">
        <v>203</v>
      </c>
    </row>
    <row r="17" spans="1:45" x14ac:dyDescent="0.2">
      <c r="A17" s="47" t="s">
        <v>38</v>
      </c>
      <c r="B17" s="47" t="s">
        <v>20</v>
      </c>
      <c r="C17" s="51">
        <f t="shared" si="1"/>
        <v>7</v>
      </c>
      <c r="D17" s="98"/>
      <c r="E17" s="99"/>
      <c r="F17" s="98"/>
      <c r="G17" s="99"/>
      <c r="H17" s="72">
        <v>1</v>
      </c>
      <c r="I17" s="36"/>
      <c r="J17" s="72">
        <v>1</v>
      </c>
      <c r="K17" s="43"/>
      <c r="L17" s="72">
        <v>1</v>
      </c>
      <c r="M17" s="36"/>
      <c r="N17" s="72">
        <v>2</v>
      </c>
      <c r="O17" s="36" t="s">
        <v>337</v>
      </c>
      <c r="P17" s="72">
        <v>1</v>
      </c>
      <c r="Q17" s="37"/>
      <c r="R17" s="72">
        <v>1</v>
      </c>
      <c r="S17" s="37"/>
      <c r="T17" s="72"/>
      <c r="U17" s="39"/>
      <c r="V17" s="72"/>
      <c r="W17" s="39"/>
      <c r="X17" s="72"/>
      <c r="Y17" s="37"/>
      <c r="Z17" s="72"/>
      <c r="AA17" s="37"/>
      <c r="AB17" s="72"/>
      <c r="AC17" s="39"/>
      <c r="AD17" s="72"/>
      <c r="AE17" s="39"/>
      <c r="AF17" s="72"/>
      <c r="AG17" s="37"/>
      <c r="AH17" s="72"/>
      <c r="AI17" s="39"/>
      <c r="AJ17" s="72"/>
      <c r="AK17" s="39"/>
      <c r="AL17" s="72"/>
      <c r="AM17" s="39"/>
      <c r="AN17" s="72"/>
      <c r="AO17" s="39"/>
      <c r="AQ17" s="2">
        <v>1</v>
      </c>
      <c r="AR17" s="102" t="s">
        <v>336</v>
      </c>
      <c r="AS17" s="102" t="s">
        <v>210</v>
      </c>
    </row>
    <row r="18" spans="1:45" x14ac:dyDescent="0.2">
      <c r="A18" s="47" t="s">
        <v>39</v>
      </c>
      <c r="B18" s="47" t="s">
        <v>40</v>
      </c>
      <c r="C18" s="51">
        <f t="shared" si="1"/>
        <v>27</v>
      </c>
      <c r="D18" s="72">
        <v>5</v>
      </c>
      <c r="E18" s="36" t="s">
        <v>255</v>
      </c>
      <c r="F18" s="72">
        <v>4</v>
      </c>
      <c r="G18" s="36" t="s">
        <v>256</v>
      </c>
      <c r="H18" s="72">
        <v>6</v>
      </c>
      <c r="I18" s="36" t="s">
        <v>270</v>
      </c>
      <c r="J18" s="72">
        <v>4</v>
      </c>
      <c r="K18" s="43" t="s">
        <v>269</v>
      </c>
      <c r="L18" s="72">
        <v>4</v>
      </c>
      <c r="M18" s="43" t="s">
        <v>334</v>
      </c>
      <c r="N18" s="72">
        <v>2</v>
      </c>
      <c r="O18" s="36" t="s">
        <v>268</v>
      </c>
      <c r="P18" s="72">
        <v>1</v>
      </c>
      <c r="Q18" s="37"/>
      <c r="R18" s="72">
        <v>1</v>
      </c>
      <c r="S18" s="37"/>
      <c r="T18" s="72"/>
      <c r="U18" s="39"/>
      <c r="V18" s="72"/>
      <c r="W18" s="39"/>
      <c r="X18" s="72"/>
      <c r="Y18" s="37"/>
      <c r="Z18" s="72"/>
      <c r="AA18" s="37"/>
      <c r="AB18" s="72"/>
      <c r="AC18" s="39"/>
      <c r="AD18" s="72"/>
      <c r="AE18" s="39"/>
      <c r="AF18" s="72"/>
      <c r="AG18" s="37"/>
      <c r="AH18" s="72"/>
      <c r="AI18" s="39"/>
      <c r="AJ18" s="72"/>
      <c r="AK18" s="39"/>
      <c r="AL18" s="72"/>
      <c r="AM18" s="39"/>
      <c r="AN18" s="72"/>
      <c r="AO18" s="39"/>
      <c r="AQ18" s="2">
        <v>1</v>
      </c>
      <c r="AR18" s="102" t="s">
        <v>236</v>
      </c>
      <c r="AS18" s="102" t="s">
        <v>200</v>
      </c>
    </row>
    <row r="19" spans="1:45" x14ac:dyDescent="0.2">
      <c r="A19" s="47" t="s">
        <v>41</v>
      </c>
      <c r="B19" s="47" t="s">
        <v>25</v>
      </c>
      <c r="C19" s="51">
        <f t="shared" si="1"/>
        <v>8</v>
      </c>
      <c r="D19" s="72">
        <v>1</v>
      </c>
      <c r="E19" s="36"/>
      <c r="F19" s="72">
        <v>1</v>
      </c>
      <c r="G19" s="36"/>
      <c r="H19" s="72">
        <v>1</v>
      </c>
      <c r="I19" s="36"/>
      <c r="J19" s="72">
        <v>1</v>
      </c>
      <c r="K19" s="43"/>
      <c r="L19" s="72">
        <v>1</v>
      </c>
      <c r="M19" s="36"/>
      <c r="N19" s="72">
        <v>1</v>
      </c>
      <c r="O19" s="36"/>
      <c r="P19" s="72">
        <v>1</v>
      </c>
      <c r="Q19" s="37"/>
      <c r="R19" s="72">
        <v>1</v>
      </c>
      <c r="S19" s="37"/>
      <c r="T19" s="72"/>
      <c r="U19" s="39"/>
      <c r="V19" s="72"/>
      <c r="W19" s="39"/>
      <c r="X19" s="72"/>
      <c r="Y19" s="37"/>
      <c r="Z19" s="72"/>
      <c r="AA19" s="37"/>
      <c r="AB19" s="72"/>
      <c r="AC19" s="39"/>
      <c r="AD19" s="72"/>
      <c r="AE19" s="39"/>
      <c r="AF19" s="72"/>
      <c r="AG19" s="37"/>
      <c r="AH19" s="72"/>
      <c r="AI19" s="39"/>
      <c r="AJ19" s="72"/>
      <c r="AK19" s="39"/>
      <c r="AL19" s="72"/>
      <c r="AM19" s="39"/>
      <c r="AN19" s="72"/>
      <c r="AO19" s="39"/>
    </row>
    <row r="20" spans="1:45" x14ac:dyDescent="0.2">
      <c r="A20" s="47" t="s">
        <v>44</v>
      </c>
      <c r="B20" s="47" t="s">
        <v>45</v>
      </c>
      <c r="C20" s="51">
        <f t="shared" si="1"/>
        <v>11</v>
      </c>
      <c r="D20" s="72">
        <v>1</v>
      </c>
      <c r="E20" s="36"/>
      <c r="F20" s="72">
        <v>1</v>
      </c>
      <c r="G20" s="36"/>
      <c r="H20" s="72">
        <v>1</v>
      </c>
      <c r="I20" s="36"/>
      <c r="J20" s="72">
        <v>1</v>
      </c>
      <c r="K20" s="43"/>
      <c r="L20" s="72">
        <v>1</v>
      </c>
      <c r="M20" s="36"/>
      <c r="N20" s="72">
        <v>1</v>
      </c>
      <c r="O20" s="36"/>
      <c r="P20" s="72">
        <v>2</v>
      </c>
      <c r="Q20" s="37" t="s">
        <v>221</v>
      </c>
      <c r="R20" s="72">
        <v>3</v>
      </c>
      <c r="S20" s="37" t="s">
        <v>329</v>
      </c>
      <c r="T20" s="72"/>
      <c r="U20" s="39"/>
      <c r="V20" s="72"/>
      <c r="W20" s="39"/>
      <c r="X20" s="72"/>
      <c r="Y20" s="37"/>
      <c r="Z20" s="72"/>
      <c r="AA20" s="37"/>
      <c r="AB20" s="72"/>
      <c r="AC20" s="39"/>
      <c r="AD20" s="72"/>
      <c r="AE20" s="39"/>
      <c r="AF20" s="72"/>
      <c r="AG20" s="37"/>
      <c r="AH20" s="72"/>
      <c r="AI20" s="39"/>
      <c r="AJ20" s="72"/>
      <c r="AK20" s="39"/>
      <c r="AL20" s="72"/>
      <c r="AM20" s="39"/>
      <c r="AN20" s="72"/>
      <c r="AO20" s="39"/>
    </row>
    <row r="21" spans="1:45" x14ac:dyDescent="0.2">
      <c r="A21" s="47" t="s">
        <v>46</v>
      </c>
      <c r="B21" s="47" t="s">
        <v>17</v>
      </c>
      <c r="C21" s="51">
        <f t="shared" si="1"/>
        <v>9</v>
      </c>
      <c r="D21" s="72">
        <v>1</v>
      </c>
      <c r="E21" s="36"/>
      <c r="F21" s="72">
        <v>1</v>
      </c>
      <c r="G21" s="36"/>
      <c r="H21" s="72">
        <v>2</v>
      </c>
      <c r="I21" s="36" t="s">
        <v>337</v>
      </c>
      <c r="J21" s="72">
        <v>1</v>
      </c>
      <c r="K21" s="43"/>
      <c r="L21" s="72">
        <v>1</v>
      </c>
      <c r="M21" s="36"/>
      <c r="N21" s="72">
        <v>1</v>
      </c>
      <c r="O21" s="36"/>
      <c r="P21" s="72">
        <v>1</v>
      </c>
      <c r="Q21" s="37"/>
      <c r="R21" s="72">
        <v>1</v>
      </c>
      <c r="S21" s="37"/>
      <c r="T21" s="72"/>
      <c r="U21" s="39"/>
      <c r="V21" s="72"/>
      <c r="W21" s="39"/>
      <c r="X21" s="72"/>
      <c r="Y21" s="37"/>
      <c r="Z21" s="72"/>
      <c r="AA21" s="37"/>
      <c r="AB21" s="72"/>
      <c r="AC21" s="39"/>
      <c r="AD21" s="72"/>
      <c r="AE21" s="39"/>
      <c r="AF21" s="72"/>
      <c r="AG21" s="37"/>
      <c r="AH21" s="72"/>
      <c r="AI21" s="39"/>
      <c r="AJ21" s="72"/>
      <c r="AK21" s="39"/>
      <c r="AL21" s="72"/>
      <c r="AM21" s="39"/>
      <c r="AN21" s="72"/>
      <c r="AO21" s="39"/>
    </row>
    <row r="22" spans="1:45" x14ac:dyDescent="0.2">
      <c r="A22" s="47" t="s">
        <v>47</v>
      </c>
      <c r="B22" s="47" t="s">
        <v>48</v>
      </c>
      <c r="C22" s="51">
        <f t="shared" si="1"/>
        <v>10</v>
      </c>
      <c r="D22" s="72">
        <v>1</v>
      </c>
      <c r="E22" s="36"/>
      <c r="F22" s="72">
        <v>1</v>
      </c>
      <c r="G22" s="36"/>
      <c r="H22" s="72">
        <v>1</v>
      </c>
      <c r="I22" s="36"/>
      <c r="J22" s="72">
        <v>1</v>
      </c>
      <c r="K22" s="43"/>
      <c r="L22" s="72">
        <v>1</v>
      </c>
      <c r="M22" s="36"/>
      <c r="N22" s="72">
        <v>1</v>
      </c>
      <c r="O22" s="36"/>
      <c r="P22" s="72">
        <v>2</v>
      </c>
      <c r="Q22" s="37" t="s">
        <v>221</v>
      </c>
      <c r="R22" s="72">
        <v>2</v>
      </c>
      <c r="S22" s="37" t="s">
        <v>222</v>
      </c>
      <c r="T22" s="72"/>
      <c r="U22" s="39"/>
      <c r="V22" s="72"/>
      <c r="W22" s="39"/>
      <c r="X22" s="72"/>
      <c r="Y22" s="37"/>
      <c r="Z22" s="72"/>
      <c r="AA22" s="37"/>
      <c r="AB22" s="72"/>
      <c r="AC22" s="39"/>
      <c r="AD22" s="72"/>
      <c r="AE22" s="39"/>
      <c r="AF22" s="72"/>
      <c r="AG22" s="37"/>
      <c r="AH22" s="72"/>
      <c r="AI22" s="39"/>
      <c r="AJ22" s="72"/>
      <c r="AK22" s="39"/>
      <c r="AL22" s="72"/>
      <c r="AM22" s="39"/>
      <c r="AN22" s="72"/>
      <c r="AO22" s="39"/>
    </row>
    <row r="23" spans="1:45" x14ac:dyDescent="0.2">
      <c r="A23" s="47" t="s">
        <v>49</v>
      </c>
      <c r="B23" s="47" t="s">
        <v>50</v>
      </c>
      <c r="C23" s="51">
        <f t="shared" si="1"/>
        <v>8</v>
      </c>
      <c r="D23" s="72">
        <v>1</v>
      </c>
      <c r="E23" s="36"/>
      <c r="F23" s="72">
        <v>1</v>
      </c>
      <c r="G23" s="36"/>
      <c r="H23" s="72">
        <v>1</v>
      </c>
      <c r="I23" s="36"/>
      <c r="J23" s="72">
        <v>1</v>
      </c>
      <c r="K23" s="43"/>
      <c r="L23" s="72">
        <v>1</v>
      </c>
      <c r="M23" s="36"/>
      <c r="N23" s="72">
        <v>1</v>
      </c>
      <c r="O23" s="36"/>
      <c r="P23" s="72">
        <v>1</v>
      </c>
      <c r="Q23" s="37"/>
      <c r="R23" s="72">
        <v>1</v>
      </c>
      <c r="S23" s="37"/>
      <c r="T23" s="72"/>
      <c r="U23" s="39"/>
      <c r="V23" s="72"/>
      <c r="W23" s="39"/>
      <c r="X23" s="72"/>
      <c r="Y23" s="37"/>
      <c r="Z23" s="72"/>
      <c r="AA23" s="37"/>
      <c r="AB23" s="72"/>
      <c r="AC23" s="39"/>
      <c r="AD23" s="72"/>
      <c r="AE23" s="39"/>
      <c r="AF23" s="72"/>
      <c r="AG23" s="37"/>
      <c r="AH23" s="72"/>
      <c r="AI23" s="39"/>
      <c r="AJ23" s="72"/>
      <c r="AK23" s="39"/>
      <c r="AL23" s="72"/>
      <c r="AM23" s="39"/>
      <c r="AN23" s="72"/>
      <c r="AO23" s="39"/>
    </row>
    <row r="24" spans="1:45" x14ac:dyDescent="0.2">
      <c r="A24" s="47" t="s">
        <v>51</v>
      </c>
      <c r="B24" s="47" t="s">
        <v>52</v>
      </c>
      <c r="C24" s="51">
        <f t="shared" si="1"/>
        <v>8</v>
      </c>
      <c r="D24" s="72">
        <v>1</v>
      </c>
      <c r="E24" s="36"/>
      <c r="F24" s="72">
        <v>1</v>
      </c>
      <c r="G24" s="36"/>
      <c r="H24" s="72">
        <v>1</v>
      </c>
      <c r="I24" s="36"/>
      <c r="J24" s="72">
        <v>1</v>
      </c>
      <c r="K24" s="43"/>
      <c r="L24" s="72">
        <v>1</v>
      </c>
      <c r="M24" s="36"/>
      <c r="N24" s="72">
        <v>1</v>
      </c>
      <c r="O24" s="36"/>
      <c r="P24" s="72">
        <v>1</v>
      </c>
      <c r="Q24" s="37"/>
      <c r="R24" s="72">
        <v>1</v>
      </c>
      <c r="S24" s="37"/>
      <c r="T24" s="72"/>
      <c r="U24" s="39"/>
      <c r="V24" s="72"/>
      <c r="W24" s="39"/>
      <c r="X24" s="72"/>
      <c r="Y24" s="37"/>
      <c r="Z24" s="72"/>
      <c r="AA24" s="37"/>
      <c r="AB24" s="72"/>
      <c r="AC24" s="39"/>
      <c r="AD24" s="72"/>
      <c r="AE24" s="39"/>
      <c r="AF24" s="72"/>
      <c r="AG24" s="37"/>
      <c r="AH24" s="72"/>
      <c r="AI24" s="39"/>
      <c r="AJ24" s="72"/>
      <c r="AK24" s="39"/>
      <c r="AL24" s="72"/>
      <c r="AM24" s="39"/>
      <c r="AN24" s="72"/>
      <c r="AO24" s="39"/>
    </row>
    <row r="25" spans="1:45" x14ac:dyDescent="0.2">
      <c r="A25" s="47" t="s">
        <v>54</v>
      </c>
      <c r="B25" s="47" t="s">
        <v>55</v>
      </c>
      <c r="C25" s="51">
        <f t="shared" si="1"/>
        <v>12</v>
      </c>
      <c r="D25" s="72">
        <v>1</v>
      </c>
      <c r="E25" s="36"/>
      <c r="F25" s="72">
        <v>1</v>
      </c>
      <c r="G25" s="36"/>
      <c r="H25" s="72">
        <v>2</v>
      </c>
      <c r="I25" s="36" t="s">
        <v>222</v>
      </c>
      <c r="J25" s="72">
        <v>2</v>
      </c>
      <c r="K25" s="43" t="s">
        <v>222</v>
      </c>
      <c r="L25" s="72">
        <v>2</v>
      </c>
      <c r="M25" s="36" t="s">
        <v>222</v>
      </c>
      <c r="N25" s="72">
        <v>2</v>
      </c>
      <c r="O25" s="36" t="s">
        <v>222</v>
      </c>
      <c r="P25" s="72">
        <v>1</v>
      </c>
      <c r="Q25" s="37"/>
      <c r="R25" s="72">
        <v>1</v>
      </c>
      <c r="S25" s="37"/>
      <c r="T25" s="72"/>
      <c r="U25" s="39"/>
      <c r="V25" s="72"/>
      <c r="W25" s="39"/>
      <c r="X25" s="72"/>
      <c r="Y25" s="37"/>
      <c r="Z25" s="72"/>
      <c r="AA25" s="37"/>
      <c r="AB25" s="72"/>
      <c r="AC25" s="39"/>
      <c r="AD25" s="72"/>
      <c r="AE25" s="39"/>
      <c r="AF25" s="72"/>
      <c r="AG25" s="37"/>
      <c r="AH25" s="72"/>
      <c r="AI25" s="39"/>
      <c r="AJ25" s="72"/>
      <c r="AK25" s="39"/>
      <c r="AL25" s="72"/>
      <c r="AM25" s="39"/>
      <c r="AN25" s="72"/>
      <c r="AO25" s="39"/>
    </row>
    <row r="26" spans="1:45" x14ac:dyDescent="0.2">
      <c r="A26" s="47" t="s">
        <v>56</v>
      </c>
      <c r="B26" s="47" t="s">
        <v>9</v>
      </c>
      <c r="C26" s="51">
        <f t="shared" si="1"/>
        <v>9</v>
      </c>
      <c r="D26" s="72">
        <v>1</v>
      </c>
      <c r="E26" s="36"/>
      <c r="F26" s="72">
        <v>1</v>
      </c>
      <c r="G26" s="36"/>
      <c r="H26" s="72">
        <v>1</v>
      </c>
      <c r="I26" s="36"/>
      <c r="J26" s="72">
        <v>1</v>
      </c>
      <c r="K26" s="43"/>
      <c r="L26" s="72">
        <v>1</v>
      </c>
      <c r="M26" s="36"/>
      <c r="N26" s="72">
        <v>1</v>
      </c>
      <c r="O26" s="36"/>
      <c r="P26" s="72">
        <v>1</v>
      </c>
      <c r="Q26" s="37"/>
      <c r="R26" s="72">
        <v>2</v>
      </c>
      <c r="S26" s="37" t="s">
        <v>222</v>
      </c>
      <c r="T26" s="72"/>
      <c r="U26" s="39"/>
      <c r="V26" s="72"/>
      <c r="W26" s="39"/>
      <c r="X26" s="72"/>
      <c r="Y26" s="37"/>
      <c r="Z26" s="72"/>
      <c r="AA26" s="37"/>
      <c r="AB26" s="72"/>
      <c r="AC26" s="39"/>
      <c r="AD26" s="72"/>
      <c r="AE26" s="39"/>
      <c r="AF26" s="72"/>
      <c r="AG26" s="37"/>
      <c r="AH26" s="72"/>
      <c r="AI26" s="39"/>
      <c r="AJ26" s="72"/>
      <c r="AK26" s="39"/>
      <c r="AL26" s="72"/>
      <c r="AM26" s="39"/>
      <c r="AN26" s="72"/>
      <c r="AO26" s="39"/>
    </row>
    <row r="27" spans="1:45" x14ac:dyDescent="0.2">
      <c r="A27" s="47" t="s">
        <v>57</v>
      </c>
      <c r="B27" s="47" t="s">
        <v>186</v>
      </c>
      <c r="C27" s="51">
        <f t="shared" si="1"/>
        <v>6</v>
      </c>
      <c r="D27" s="98"/>
      <c r="E27" s="99"/>
      <c r="F27" s="98"/>
      <c r="G27" s="99"/>
      <c r="H27" s="72">
        <v>1</v>
      </c>
      <c r="I27" s="36"/>
      <c r="J27" s="72">
        <v>1</v>
      </c>
      <c r="K27" s="43"/>
      <c r="L27" s="72">
        <v>1</v>
      </c>
      <c r="M27" s="36"/>
      <c r="N27" s="72">
        <v>1</v>
      </c>
      <c r="O27" s="36"/>
      <c r="P27" s="72">
        <v>1</v>
      </c>
      <c r="Q27" s="37"/>
      <c r="R27" s="72">
        <v>1</v>
      </c>
      <c r="S27" s="37"/>
      <c r="T27" s="72"/>
      <c r="U27" s="39"/>
      <c r="V27" s="72"/>
      <c r="W27" s="39"/>
      <c r="X27" s="72"/>
      <c r="Y27" s="37"/>
      <c r="Z27" s="72"/>
      <c r="AA27" s="37"/>
      <c r="AB27" s="72"/>
      <c r="AC27" s="39"/>
      <c r="AD27" s="72"/>
      <c r="AE27" s="39"/>
      <c r="AF27" s="72"/>
      <c r="AG27" s="37"/>
      <c r="AH27" s="72"/>
      <c r="AI27" s="39"/>
      <c r="AJ27" s="72"/>
      <c r="AK27" s="39"/>
      <c r="AL27" s="72"/>
      <c r="AM27" s="39"/>
      <c r="AN27" s="72"/>
      <c r="AO27" s="39"/>
    </row>
    <row r="28" spans="1:45" x14ac:dyDescent="0.2">
      <c r="A28" s="47" t="s">
        <v>59</v>
      </c>
      <c r="B28" s="47" t="s">
        <v>60</v>
      </c>
      <c r="C28" s="51">
        <f t="shared" si="1"/>
        <v>2</v>
      </c>
      <c r="D28" s="98"/>
      <c r="E28" s="99"/>
      <c r="F28" s="98"/>
      <c r="G28" s="99"/>
      <c r="H28" s="98"/>
      <c r="I28" s="99"/>
      <c r="J28" s="98"/>
      <c r="K28" s="100"/>
      <c r="L28" s="98"/>
      <c r="M28" s="99"/>
      <c r="N28" s="98"/>
      <c r="O28" s="99"/>
      <c r="P28" s="98"/>
      <c r="Q28" s="101"/>
      <c r="R28" s="72">
        <v>2</v>
      </c>
      <c r="S28" s="37" t="s">
        <v>284</v>
      </c>
      <c r="T28" s="72"/>
      <c r="U28" s="39"/>
      <c r="V28" s="72"/>
      <c r="W28" s="39"/>
      <c r="X28" s="72"/>
      <c r="Y28" s="37"/>
      <c r="Z28" s="72"/>
      <c r="AA28" s="37"/>
      <c r="AB28" s="72"/>
      <c r="AC28" s="39"/>
      <c r="AD28" s="72"/>
      <c r="AE28" s="39"/>
      <c r="AF28" s="72"/>
      <c r="AG28" s="37"/>
      <c r="AH28" s="72"/>
      <c r="AI28" s="39"/>
      <c r="AJ28" s="72"/>
      <c r="AK28" s="39"/>
      <c r="AL28" s="72"/>
      <c r="AM28" s="39"/>
      <c r="AN28" s="72"/>
      <c r="AO28" s="39"/>
    </row>
    <row r="29" spans="1:45" x14ac:dyDescent="0.2">
      <c r="A29" s="47" t="s">
        <v>61</v>
      </c>
      <c r="B29" s="47" t="s">
        <v>62</v>
      </c>
      <c r="C29" s="51">
        <f t="shared" si="1"/>
        <v>9</v>
      </c>
      <c r="D29" s="98"/>
      <c r="E29" s="99"/>
      <c r="F29" s="98"/>
      <c r="G29" s="99"/>
      <c r="H29" s="72">
        <v>2</v>
      </c>
      <c r="I29" s="36" t="s">
        <v>284</v>
      </c>
      <c r="J29" s="72">
        <v>1</v>
      </c>
      <c r="K29" s="43"/>
      <c r="L29" s="72">
        <v>1</v>
      </c>
      <c r="M29" s="36"/>
      <c r="N29" s="72">
        <v>1</v>
      </c>
      <c r="O29" s="36"/>
      <c r="P29" s="72">
        <v>1</v>
      </c>
      <c r="Q29" s="37"/>
      <c r="R29" s="72">
        <v>3</v>
      </c>
      <c r="S29" s="37" t="s">
        <v>333</v>
      </c>
      <c r="T29" s="72"/>
      <c r="U29" s="39"/>
      <c r="V29" s="72"/>
      <c r="W29" s="39"/>
      <c r="X29" s="72"/>
      <c r="Y29" s="37"/>
      <c r="Z29" s="72"/>
      <c r="AA29" s="37"/>
      <c r="AB29" s="72"/>
      <c r="AC29" s="39"/>
      <c r="AD29" s="72"/>
      <c r="AE29" s="39"/>
      <c r="AF29" s="72"/>
      <c r="AG29" s="37"/>
      <c r="AH29" s="72"/>
      <c r="AI29" s="39"/>
      <c r="AJ29" s="72"/>
      <c r="AK29" s="39"/>
      <c r="AL29" s="72"/>
      <c r="AM29" s="39"/>
      <c r="AN29" s="72"/>
      <c r="AO29" s="39"/>
    </row>
    <row r="30" spans="1:45" x14ac:dyDescent="0.2">
      <c r="A30" s="47" t="s">
        <v>63</v>
      </c>
      <c r="B30" s="47" t="s">
        <v>25</v>
      </c>
      <c r="C30" s="51">
        <f t="shared" si="1"/>
        <v>2</v>
      </c>
      <c r="D30" s="98"/>
      <c r="E30" s="99"/>
      <c r="F30" s="98"/>
      <c r="G30" s="99"/>
      <c r="H30" s="98"/>
      <c r="I30" s="99"/>
      <c r="J30" s="98"/>
      <c r="K30" s="100"/>
      <c r="L30" s="98"/>
      <c r="M30" s="99"/>
      <c r="N30" s="98"/>
      <c r="O30" s="99"/>
      <c r="P30" s="72">
        <v>1</v>
      </c>
      <c r="Q30" s="37"/>
      <c r="R30" s="72">
        <v>1</v>
      </c>
      <c r="S30" s="37"/>
      <c r="T30" s="72"/>
      <c r="U30" s="39"/>
      <c r="V30" s="72"/>
      <c r="W30" s="39"/>
      <c r="X30" s="72"/>
      <c r="Y30" s="37"/>
      <c r="Z30" s="72"/>
      <c r="AA30" s="37"/>
      <c r="AB30" s="72"/>
      <c r="AC30" s="39"/>
      <c r="AD30" s="72"/>
      <c r="AE30" s="39"/>
      <c r="AF30" s="72"/>
      <c r="AG30" s="37"/>
      <c r="AH30" s="72"/>
      <c r="AI30" s="39"/>
      <c r="AJ30" s="72"/>
      <c r="AK30" s="39"/>
      <c r="AL30" s="72"/>
      <c r="AM30" s="39"/>
      <c r="AN30" s="72"/>
      <c r="AO30" s="39"/>
    </row>
    <row r="31" spans="1:45" x14ac:dyDescent="0.2">
      <c r="A31" s="47" t="s">
        <v>64</v>
      </c>
      <c r="B31" s="47" t="s">
        <v>65</v>
      </c>
      <c r="C31" s="51">
        <f t="shared" si="1"/>
        <v>6</v>
      </c>
      <c r="D31" s="98"/>
      <c r="E31" s="99"/>
      <c r="F31" s="98"/>
      <c r="G31" s="99"/>
      <c r="H31" s="72">
        <v>1</v>
      </c>
      <c r="I31" s="36"/>
      <c r="J31" s="72">
        <v>1</v>
      </c>
      <c r="K31" s="43"/>
      <c r="L31" s="72">
        <v>1</v>
      </c>
      <c r="M31" s="36"/>
      <c r="N31" s="72">
        <v>1</v>
      </c>
      <c r="O31" s="36"/>
      <c r="P31" s="72">
        <v>1</v>
      </c>
      <c r="Q31" s="37"/>
      <c r="R31" s="72">
        <v>1</v>
      </c>
      <c r="S31" s="37"/>
      <c r="T31" s="72"/>
      <c r="U31" s="39"/>
      <c r="V31" s="72"/>
      <c r="W31" s="39"/>
      <c r="X31" s="72"/>
      <c r="Y31" s="37"/>
      <c r="Z31" s="72"/>
      <c r="AA31" s="37"/>
      <c r="AB31" s="72"/>
      <c r="AC31" s="39"/>
      <c r="AD31" s="72"/>
      <c r="AE31" s="39"/>
      <c r="AF31" s="72"/>
      <c r="AG31" s="37"/>
      <c r="AH31" s="72"/>
      <c r="AI31" s="39"/>
      <c r="AJ31" s="72"/>
      <c r="AK31" s="39"/>
      <c r="AL31" s="72"/>
      <c r="AM31" s="39"/>
      <c r="AN31" s="72"/>
      <c r="AO31" s="39"/>
    </row>
    <row r="32" spans="1:45" x14ac:dyDescent="0.2">
      <c r="A32" s="47" t="s">
        <v>68</v>
      </c>
      <c r="B32" s="47" t="s">
        <v>69</v>
      </c>
      <c r="C32" s="51">
        <f t="shared" si="1"/>
        <v>4</v>
      </c>
      <c r="D32" s="98"/>
      <c r="E32" s="99"/>
      <c r="F32" s="98"/>
      <c r="G32" s="99"/>
      <c r="H32" s="98"/>
      <c r="I32" s="99"/>
      <c r="J32" s="98"/>
      <c r="K32" s="100"/>
      <c r="L32" s="72">
        <v>1</v>
      </c>
      <c r="M32" s="36"/>
      <c r="N32" s="72">
        <v>1</v>
      </c>
      <c r="O32" s="36"/>
      <c r="P32" s="72">
        <v>1</v>
      </c>
      <c r="Q32" s="37"/>
      <c r="R32" s="72">
        <v>1</v>
      </c>
      <c r="S32" s="37"/>
      <c r="T32" s="72"/>
      <c r="U32" s="39"/>
      <c r="V32" s="72"/>
      <c r="W32" s="39"/>
      <c r="X32" s="72"/>
      <c r="Y32" s="37"/>
      <c r="Z32" s="72"/>
      <c r="AA32" s="37"/>
      <c r="AB32" s="72"/>
      <c r="AC32" s="39"/>
      <c r="AD32" s="72"/>
      <c r="AE32" s="39"/>
      <c r="AF32" s="72"/>
      <c r="AG32" s="37"/>
      <c r="AH32" s="72"/>
      <c r="AI32" s="39"/>
      <c r="AJ32" s="72"/>
      <c r="AK32" s="39"/>
      <c r="AL32" s="72"/>
      <c r="AM32" s="39"/>
      <c r="AN32" s="72"/>
      <c r="AO32" s="39"/>
    </row>
    <row r="33" spans="1:41" x14ac:dyDescent="0.2">
      <c r="A33" s="47" t="s">
        <v>70</v>
      </c>
      <c r="B33" s="47" t="s">
        <v>71</v>
      </c>
      <c r="C33" s="51">
        <f t="shared" si="1"/>
        <v>8</v>
      </c>
      <c r="D33" s="72">
        <v>2</v>
      </c>
      <c r="E33" s="36" t="s">
        <v>223</v>
      </c>
      <c r="F33" s="72">
        <v>1</v>
      </c>
      <c r="G33" s="36"/>
      <c r="H33" s="72">
        <v>1</v>
      </c>
      <c r="I33" s="36"/>
      <c r="J33" s="72">
        <v>1</v>
      </c>
      <c r="K33" s="43"/>
      <c r="L33" s="72">
        <v>1</v>
      </c>
      <c r="M33" s="36"/>
      <c r="N33" s="98"/>
      <c r="O33" s="99"/>
      <c r="P33" s="72">
        <v>1</v>
      </c>
      <c r="Q33" s="37"/>
      <c r="R33" s="72">
        <v>1</v>
      </c>
      <c r="S33" s="37"/>
      <c r="T33" s="72"/>
      <c r="U33" s="39"/>
      <c r="V33" s="72"/>
      <c r="W33" s="39"/>
      <c r="X33" s="72"/>
      <c r="Y33" s="37"/>
      <c r="Z33" s="72"/>
      <c r="AA33" s="37"/>
      <c r="AB33" s="72"/>
      <c r="AC33" s="39"/>
      <c r="AD33" s="72"/>
      <c r="AE33" s="39"/>
      <c r="AF33" s="72"/>
      <c r="AG33" s="37"/>
      <c r="AH33" s="72"/>
      <c r="AI33" s="39"/>
      <c r="AJ33" s="72"/>
      <c r="AK33" s="39"/>
      <c r="AL33" s="72"/>
      <c r="AM33" s="39"/>
      <c r="AN33" s="72"/>
      <c r="AO33" s="39"/>
    </row>
    <row r="34" spans="1:41" x14ac:dyDescent="0.2">
      <c r="A34" s="47" t="s">
        <v>72</v>
      </c>
      <c r="B34" s="47" t="s">
        <v>73</v>
      </c>
      <c r="C34" s="51">
        <f t="shared" si="1"/>
        <v>11</v>
      </c>
      <c r="D34" s="98"/>
      <c r="E34" s="99"/>
      <c r="F34" s="72">
        <v>1</v>
      </c>
      <c r="G34" s="36"/>
      <c r="H34" s="72">
        <v>1</v>
      </c>
      <c r="I34" s="36"/>
      <c r="J34" s="72">
        <v>1</v>
      </c>
      <c r="K34" s="43"/>
      <c r="L34" s="72">
        <v>1</v>
      </c>
      <c r="M34" s="36"/>
      <c r="N34" s="72">
        <v>1</v>
      </c>
      <c r="O34" s="36"/>
      <c r="P34" s="72">
        <v>1</v>
      </c>
      <c r="Q34" s="37"/>
      <c r="R34" s="72">
        <v>5</v>
      </c>
      <c r="S34" s="37" t="s">
        <v>340</v>
      </c>
      <c r="T34" s="72"/>
      <c r="U34" s="39"/>
      <c r="V34" s="72"/>
      <c r="W34" s="39"/>
      <c r="X34" s="72"/>
      <c r="Y34" s="37"/>
      <c r="Z34" s="72"/>
      <c r="AA34" s="37"/>
      <c r="AB34" s="72"/>
      <c r="AC34" s="39"/>
      <c r="AD34" s="72"/>
      <c r="AE34" s="39"/>
      <c r="AF34" s="72"/>
      <c r="AG34" s="37"/>
      <c r="AH34" s="72"/>
      <c r="AI34" s="39"/>
      <c r="AJ34" s="72"/>
      <c r="AK34" s="39"/>
      <c r="AL34" s="72"/>
      <c r="AM34" s="39"/>
      <c r="AN34" s="72"/>
      <c r="AO34" s="39"/>
    </row>
    <row r="35" spans="1:41" x14ac:dyDescent="0.2">
      <c r="A35" s="47" t="s">
        <v>74</v>
      </c>
      <c r="B35" s="47" t="s">
        <v>23</v>
      </c>
      <c r="C35" s="51">
        <f t="shared" si="1"/>
        <v>8</v>
      </c>
      <c r="D35" s="72">
        <v>1</v>
      </c>
      <c r="E35" s="36"/>
      <c r="F35" s="72">
        <v>1</v>
      </c>
      <c r="G35" s="36"/>
      <c r="H35" s="72">
        <v>1</v>
      </c>
      <c r="I35" s="36"/>
      <c r="J35" s="72">
        <v>1</v>
      </c>
      <c r="K35" s="43"/>
      <c r="L35" s="72">
        <v>1</v>
      </c>
      <c r="M35" s="36"/>
      <c r="N35" s="72">
        <v>1</v>
      </c>
      <c r="O35" s="36"/>
      <c r="P35" s="72">
        <v>1</v>
      </c>
      <c r="Q35" s="37"/>
      <c r="R35" s="72">
        <v>1</v>
      </c>
      <c r="S35" s="37"/>
      <c r="T35" s="72"/>
      <c r="U35" s="39"/>
      <c r="V35" s="72"/>
      <c r="W35" s="39"/>
      <c r="X35" s="72"/>
      <c r="Y35" s="37"/>
      <c r="Z35" s="72"/>
      <c r="AA35" s="37"/>
      <c r="AB35" s="72"/>
      <c r="AC35" s="39"/>
      <c r="AD35" s="72"/>
      <c r="AE35" s="39"/>
      <c r="AF35" s="72"/>
      <c r="AG35" s="37"/>
      <c r="AH35" s="72"/>
      <c r="AI35" s="39"/>
      <c r="AJ35" s="72"/>
      <c r="AK35" s="39"/>
      <c r="AL35" s="72"/>
      <c r="AM35" s="39"/>
      <c r="AN35" s="72"/>
      <c r="AO35" s="39"/>
    </row>
    <row r="36" spans="1:41" x14ac:dyDescent="0.2">
      <c r="A36" s="47" t="s">
        <v>77</v>
      </c>
      <c r="B36" s="47" t="s">
        <v>78</v>
      </c>
      <c r="C36" s="51">
        <f t="shared" si="1"/>
        <v>8</v>
      </c>
      <c r="D36" s="72">
        <v>1</v>
      </c>
      <c r="E36" s="36"/>
      <c r="F36" s="72">
        <v>1</v>
      </c>
      <c r="G36" s="36"/>
      <c r="H36" s="72">
        <v>1</v>
      </c>
      <c r="I36" s="36"/>
      <c r="J36" s="72">
        <v>1</v>
      </c>
      <c r="K36" s="43"/>
      <c r="L36" s="72">
        <v>1</v>
      </c>
      <c r="M36" s="36"/>
      <c r="N36" s="72">
        <v>1</v>
      </c>
      <c r="O36" s="36"/>
      <c r="P36" s="72">
        <v>1</v>
      </c>
      <c r="Q36" s="37"/>
      <c r="R36" s="72">
        <v>1</v>
      </c>
      <c r="S36" s="37"/>
      <c r="T36" s="72"/>
      <c r="U36" s="39"/>
      <c r="V36" s="72"/>
      <c r="W36" s="39"/>
      <c r="X36" s="72"/>
      <c r="Y36" s="37"/>
      <c r="Z36" s="72"/>
      <c r="AA36" s="37"/>
      <c r="AB36" s="72"/>
      <c r="AC36" s="39"/>
      <c r="AD36" s="72"/>
      <c r="AE36" s="39"/>
      <c r="AF36" s="72"/>
      <c r="AG36" s="37"/>
      <c r="AH36" s="72"/>
      <c r="AI36" s="39"/>
      <c r="AJ36" s="72"/>
      <c r="AK36" s="39"/>
      <c r="AL36" s="72"/>
      <c r="AM36" s="39"/>
      <c r="AN36" s="72"/>
      <c r="AO36" s="39"/>
    </row>
    <row r="37" spans="1:41" x14ac:dyDescent="0.2">
      <c r="A37" s="47" t="s">
        <v>79</v>
      </c>
      <c r="B37" s="47" t="s">
        <v>80</v>
      </c>
      <c r="C37" s="51">
        <f t="shared" si="1"/>
        <v>11</v>
      </c>
      <c r="D37" s="98"/>
      <c r="E37" s="99"/>
      <c r="F37" s="72">
        <v>1</v>
      </c>
      <c r="G37" s="36"/>
      <c r="H37" s="72">
        <v>1</v>
      </c>
      <c r="I37" s="36"/>
      <c r="J37" s="72">
        <v>1</v>
      </c>
      <c r="K37" s="43"/>
      <c r="L37" s="72">
        <v>2</v>
      </c>
      <c r="M37" s="36" t="s">
        <v>222</v>
      </c>
      <c r="N37" s="72">
        <v>2</v>
      </c>
      <c r="O37" s="36" t="s">
        <v>227</v>
      </c>
      <c r="P37" s="72">
        <v>2</v>
      </c>
      <c r="Q37" s="37" t="s">
        <v>227</v>
      </c>
      <c r="R37" s="72">
        <v>2</v>
      </c>
      <c r="S37" s="37" t="s">
        <v>309</v>
      </c>
      <c r="T37" s="72"/>
      <c r="U37" s="39"/>
      <c r="V37" s="72"/>
      <c r="W37" s="39"/>
      <c r="X37" s="72"/>
      <c r="Y37" s="37"/>
      <c r="Z37" s="72"/>
      <c r="AA37" s="37"/>
      <c r="AB37" s="72"/>
      <c r="AC37" s="39"/>
      <c r="AD37" s="72"/>
      <c r="AE37" s="39"/>
      <c r="AF37" s="72"/>
      <c r="AG37" s="37"/>
      <c r="AH37" s="72"/>
      <c r="AI37" s="39"/>
      <c r="AJ37" s="72"/>
      <c r="AK37" s="39"/>
      <c r="AL37" s="72"/>
      <c r="AM37" s="39"/>
      <c r="AN37" s="72"/>
      <c r="AO37" s="39"/>
    </row>
    <row r="38" spans="1:41" x14ac:dyDescent="0.2">
      <c r="A38" s="47" t="s">
        <v>81</v>
      </c>
      <c r="B38" s="47" t="s">
        <v>82</v>
      </c>
      <c r="C38" s="51">
        <f t="shared" si="1"/>
        <v>25</v>
      </c>
      <c r="D38" s="72">
        <v>2</v>
      </c>
      <c r="E38" s="36" t="s">
        <v>222</v>
      </c>
      <c r="F38" s="72">
        <v>2</v>
      </c>
      <c r="G38" s="36" t="s">
        <v>222</v>
      </c>
      <c r="H38" s="72">
        <v>2</v>
      </c>
      <c r="I38" s="36" t="s">
        <v>222</v>
      </c>
      <c r="J38" s="72">
        <v>2</v>
      </c>
      <c r="K38" s="43" t="s">
        <v>222</v>
      </c>
      <c r="L38" s="72">
        <v>2</v>
      </c>
      <c r="M38" s="36" t="s">
        <v>222</v>
      </c>
      <c r="N38" s="72">
        <v>4</v>
      </c>
      <c r="O38" s="36" t="s">
        <v>256</v>
      </c>
      <c r="P38" s="72">
        <v>6</v>
      </c>
      <c r="Q38" s="37" t="s">
        <v>270</v>
      </c>
      <c r="R38" s="72">
        <v>5</v>
      </c>
      <c r="S38" s="37" t="s">
        <v>335</v>
      </c>
      <c r="T38" s="72"/>
      <c r="U38" s="39"/>
      <c r="V38" s="72"/>
      <c r="W38" s="39"/>
      <c r="X38" s="72"/>
      <c r="Y38" s="37"/>
      <c r="Z38" s="72"/>
      <c r="AA38" s="37"/>
      <c r="AB38" s="72"/>
      <c r="AC38" s="39"/>
      <c r="AD38" s="72"/>
      <c r="AE38" s="39"/>
      <c r="AF38" s="72"/>
      <c r="AG38" s="37"/>
      <c r="AH38" s="72"/>
      <c r="AI38" s="39"/>
      <c r="AJ38" s="72"/>
      <c r="AK38" s="39"/>
      <c r="AL38" s="72"/>
      <c r="AM38" s="39"/>
      <c r="AN38" s="72"/>
      <c r="AO38" s="39"/>
    </row>
    <row r="39" spans="1:41" x14ac:dyDescent="0.2">
      <c r="A39" s="47" t="s">
        <v>83</v>
      </c>
      <c r="B39" s="47" t="s">
        <v>20</v>
      </c>
      <c r="C39" s="51">
        <f t="shared" si="1"/>
        <v>8</v>
      </c>
      <c r="D39" s="72">
        <v>1</v>
      </c>
      <c r="E39" s="36"/>
      <c r="F39" s="72">
        <v>1</v>
      </c>
      <c r="G39" s="36"/>
      <c r="H39" s="72">
        <v>1</v>
      </c>
      <c r="I39" s="36"/>
      <c r="J39" s="72">
        <v>1</v>
      </c>
      <c r="K39" s="43"/>
      <c r="L39" s="72">
        <v>1</v>
      </c>
      <c r="M39" s="36"/>
      <c r="N39" s="72">
        <v>1</v>
      </c>
      <c r="O39" s="36"/>
      <c r="P39" s="72">
        <v>1</v>
      </c>
      <c r="Q39" s="37"/>
      <c r="R39" s="72">
        <v>1</v>
      </c>
      <c r="S39" s="37"/>
      <c r="T39" s="72"/>
      <c r="U39" s="39"/>
      <c r="V39" s="72"/>
      <c r="W39" s="39"/>
      <c r="X39" s="72"/>
      <c r="Y39" s="37"/>
      <c r="Z39" s="72"/>
      <c r="AA39" s="37"/>
      <c r="AB39" s="72"/>
      <c r="AC39" s="39"/>
      <c r="AD39" s="72"/>
      <c r="AE39" s="39"/>
      <c r="AF39" s="72"/>
      <c r="AG39" s="37"/>
      <c r="AH39" s="72"/>
      <c r="AI39" s="39"/>
      <c r="AJ39" s="72"/>
      <c r="AK39" s="39"/>
      <c r="AL39" s="72"/>
      <c r="AM39" s="39"/>
      <c r="AN39" s="72"/>
      <c r="AO39" s="39"/>
    </row>
    <row r="40" spans="1:41" x14ac:dyDescent="0.2">
      <c r="A40" s="47" t="s">
        <v>84</v>
      </c>
      <c r="B40" s="47" t="s">
        <v>20</v>
      </c>
      <c r="C40" s="51">
        <f t="shared" si="1"/>
        <v>1</v>
      </c>
      <c r="D40" s="98"/>
      <c r="E40" s="99"/>
      <c r="F40" s="98"/>
      <c r="G40" s="99"/>
      <c r="H40" s="98"/>
      <c r="I40" s="99"/>
      <c r="J40" s="98"/>
      <c r="K40" s="100"/>
      <c r="L40" s="98"/>
      <c r="M40" s="99"/>
      <c r="N40" s="98"/>
      <c r="O40" s="99"/>
      <c r="P40" s="98"/>
      <c r="Q40" s="101"/>
      <c r="R40" s="72">
        <v>1</v>
      </c>
      <c r="S40" s="37"/>
      <c r="T40" s="72"/>
      <c r="U40" s="39"/>
      <c r="V40" s="72"/>
      <c r="W40" s="39"/>
      <c r="X40" s="72"/>
      <c r="Y40" s="37"/>
      <c r="Z40" s="72"/>
      <c r="AA40" s="37"/>
      <c r="AB40" s="72"/>
      <c r="AC40" s="39"/>
      <c r="AD40" s="72"/>
      <c r="AE40" s="39"/>
      <c r="AF40" s="72"/>
      <c r="AG40" s="37"/>
      <c r="AH40" s="72"/>
      <c r="AI40" s="39"/>
      <c r="AJ40" s="72"/>
      <c r="AK40" s="39"/>
      <c r="AL40" s="72"/>
      <c r="AM40" s="39"/>
      <c r="AN40" s="72"/>
      <c r="AO40" s="39"/>
    </row>
    <row r="41" spans="1:41" x14ac:dyDescent="0.2">
      <c r="A41" s="47" t="s">
        <v>85</v>
      </c>
      <c r="B41" s="47" t="s">
        <v>86</v>
      </c>
      <c r="C41" s="51">
        <f t="shared" si="1"/>
        <v>5</v>
      </c>
      <c r="D41" s="98"/>
      <c r="E41" s="99"/>
      <c r="F41" s="98"/>
      <c r="G41" s="99"/>
      <c r="H41" s="98"/>
      <c r="I41" s="99"/>
      <c r="J41" s="72">
        <v>1</v>
      </c>
      <c r="K41" s="43"/>
      <c r="L41" s="72">
        <v>1</v>
      </c>
      <c r="M41" s="36"/>
      <c r="N41" s="72">
        <v>1</v>
      </c>
      <c r="O41" s="36"/>
      <c r="P41" s="72">
        <v>1</v>
      </c>
      <c r="Q41" s="37"/>
      <c r="R41" s="72">
        <v>1</v>
      </c>
      <c r="S41" s="37"/>
      <c r="T41" s="72"/>
      <c r="U41" s="39"/>
      <c r="V41" s="72"/>
      <c r="W41" s="39"/>
      <c r="X41" s="72"/>
      <c r="Y41" s="37"/>
      <c r="Z41" s="72"/>
      <c r="AA41" s="37"/>
      <c r="AB41" s="72"/>
      <c r="AC41" s="39"/>
      <c r="AD41" s="72"/>
      <c r="AE41" s="39"/>
      <c r="AF41" s="72"/>
      <c r="AG41" s="37"/>
      <c r="AH41" s="72"/>
      <c r="AI41" s="39"/>
      <c r="AJ41" s="72"/>
      <c r="AK41" s="39"/>
      <c r="AL41" s="72"/>
      <c r="AM41" s="39"/>
      <c r="AN41" s="72"/>
      <c r="AO41" s="39"/>
    </row>
    <row r="42" spans="1:41" x14ac:dyDescent="0.2">
      <c r="A42" s="47" t="s">
        <v>87</v>
      </c>
      <c r="B42" s="47" t="s">
        <v>88</v>
      </c>
      <c r="C42" s="51">
        <f t="shared" si="1"/>
        <v>2</v>
      </c>
      <c r="D42" s="98"/>
      <c r="E42" s="99"/>
      <c r="F42" s="98"/>
      <c r="G42" s="99"/>
      <c r="H42" s="98"/>
      <c r="I42" s="99"/>
      <c r="J42" s="98"/>
      <c r="K42" s="100"/>
      <c r="L42" s="98"/>
      <c r="M42" s="99"/>
      <c r="N42" s="98"/>
      <c r="O42" s="99"/>
      <c r="P42" s="72">
        <v>1</v>
      </c>
      <c r="Q42" s="37"/>
      <c r="R42" s="72">
        <v>1</v>
      </c>
      <c r="S42" s="37"/>
      <c r="T42" s="72"/>
      <c r="U42" s="39"/>
      <c r="V42" s="72"/>
      <c r="W42" s="39"/>
      <c r="X42" s="72"/>
      <c r="Y42" s="37"/>
      <c r="Z42" s="72"/>
      <c r="AA42" s="37"/>
      <c r="AB42" s="72"/>
      <c r="AC42" s="39"/>
      <c r="AD42" s="72"/>
      <c r="AE42" s="39"/>
      <c r="AF42" s="72"/>
      <c r="AG42" s="37"/>
      <c r="AH42" s="72"/>
      <c r="AI42" s="39"/>
      <c r="AJ42" s="72"/>
      <c r="AK42" s="39"/>
      <c r="AL42" s="72"/>
      <c r="AM42" s="39"/>
      <c r="AN42" s="72"/>
      <c r="AO42" s="39"/>
    </row>
    <row r="43" spans="1:41" x14ac:dyDescent="0.2">
      <c r="A43" s="47" t="s">
        <v>89</v>
      </c>
      <c r="B43" s="47" t="s">
        <v>90</v>
      </c>
      <c r="C43" s="51">
        <f t="shared" si="1"/>
        <v>8</v>
      </c>
      <c r="D43" s="72">
        <v>1</v>
      </c>
      <c r="E43" s="36"/>
      <c r="F43" s="72">
        <v>1</v>
      </c>
      <c r="G43" s="36"/>
      <c r="H43" s="72">
        <v>1</v>
      </c>
      <c r="I43" s="36"/>
      <c r="J43" s="72">
        <v>1</v>
      </c>
      <c r="K43" s="43"/>
      <c r="L43" s="72">
        <v>1</v>
      </c>
      <c r="M43" s="36"/>
      <c r="N43" s="72">
        <v>1</v>
      </c>
      <c r="O43" s="36"/>
      <c r="P43" s="72">
        <v>1</v>
      </c>
      <c r="Q43" s="37"/>
      <c r="R43" s="72">
        <v>1</v>
      </c>
      <c r="S43" s="37"/>
      <c r="T43" s="72"/>
      <c r="U43" s="39"/>
      <c r="V43" s="72"/>
      <c r="W43" s="39"/>
      <c r="X43" s="72"/>
      <c r="Y43" s="37"/>
      <c r="Z43" s="72"/>
      <c r="AA43" s="37"/>
      <c r="AB43" s="72"/>
      <c r="AC43" s="39"/>
      <c r="AD43" s="72"/>
      <c r="AE43" s="39"/>
      <c r="AF43" s="72"/>
      <c r="AG43" s="37"/>
      <c r="AH43" s="72"/>
      <c r="AI43" s="39"/>
      <c r="AJ43" s="72"/>
      <c r="AK43" s="39"/>
      <c r="AL43" s="72"/>
      <c r="AM43" s="39"/>
      <c r="AN43" s="72"/>
      <c r="AO43" s="39"/>
    </row>
    <row r="44" spans="1:41" x14ac:dyDescent="0.2">
      <c r="A44" s="47" t="s">
        <v>91</v>
      </c>
      <c r="B44" s="47" t="s">
        <v>92</v>
      </c>
      <c r="C44" s="51">
        <f t="shared" si="1"/>
        <v>16</v>
      </c>
      <c r="D44" s="72">
        <v>2</v>
      </c>
      <c r="E44" s="36" t="s">
        <v>341</v>
      </c>
      <c r="F44" s="72">
        <v>2</v>
      </c>
      <c r="G44" s="36" t="s">
        <v>341</v>
      </c>
      <c r="H44" s="72">
        <v>2</v>
      </c>
      <c r="I44" s="36" t="s">
        <v>341</v>
      </c>
      <c r="J44" s="72">
        <v>2</v>
      </c>
      <c r="K44" s="43" t="s">
        <v>341</v>
      </c>
      <c r="L44" s="72">
        <v>2</v>
      </c>
      <c r="M44" s="36" t="s">
        <v>341</v>
      </c>
      <c r="N44" s="72">
        <v>3</v>
      </c>
      <c r="O44" s="36" t="s">
        <v>342</v>
      </c>
      <c r="P44" s="72">
        <v>2</v>
      </c>
      <c r="Q44" s="37" t="s">
        <v>222</v>
      </c>
      <c r="R44" s="72">
        <v>1</v>
      </c>
      <c r="S44" s="37" t="s">
        <v>227</v>
      </c>
      <c r="T44" s="72"/>
      <c r="U44" s="39"/>
      <c r="V44" s="72"/>
      <c r="W44" s="39"/>
      <c r="X44" s="72"/>
      <c r="Y44" s="37"/>
      <c r="Z44" s="72"/>
      <c r="AA44" s="37"/>
      <c r="AB44" s="72"/>
      <c r="AC44" s="39"/>
      <c r="AD44" s="72"/>
      <c r="AE44" s="39"/>
      <c r="AF44" s="72"/>
      <c r="AG44" s="37"/>
      <c r="AH44" s="72"/>
      <c r="AI44" s="39"/>
      <c r="AJ44" s="72"/>
      <c r="AK44" s="39"/>
      <c r="AL44" s="72"/>
      <c r="AM44" s="39"/>
      <c r="AN44" s="72"/>
      <c r="AO44" s="39"/>
    </row>
    <row r="45" spans="1:41" x14ac:dyDescent="0.2">
      <c r="A45" s="47" t="s">
        <v>93</v>
      </c>
      <c r="B45" s="47" t="s">
        <v>94</v>
      </c>
      <c r="C45" s="51">
        <f t="shared" si="1"/>
        <v>8</v>
      </c>
      <c r="D45" s="72">
        <v>1</v>
      </c>
      <c r="E45" s="36"/>
      <c r="F45" s="72">
        <v>1</v>
      </c>
      <c r="G45" s="36"/>
      <c r="H45" s="72">
        <v>1</v>
      </c>
      <c r="I45" s="36"/>
      <c r="J45" s="72">
        <v>1</v>
      </c>
      <c r="K45" s="43"/>
      <c r="L45" s="72">
        <v>1</v>
      </c>
      <c r="M45" s="36"/>
      <c r="N45" s="72">
        <v>1</v>
      </c>
      <c r="O45" s="36"/>
      <c r="P45" s="72">
        <v>1</v>
      </c>
      <c r="Q45" s="37"/>
      <c r="R45" s="72">
        <v>1</v>
      </c>
      <c r="S45" s="37"/>
      <c r="T45" s="72"/>
      <c r="U45" s="39"/>
      <c r="V45" s="72"/>
      <c r="W45" s="39"/>
      <c r="X45" s="72"/>
      <c r="Y45" s="37"/>
      <c r="Z45" s="72"/>
      <c r="AA45" s="37"/>
      <c r="AB45" s="72"/>
      <c r="AC45" s="39"/>
      <c r="AD45" s="72"/>
      <c r="AE45" s="39"/>
      <c r="AF45" s="72"/>
      <c r="AG45" s="37"/>
      <c r="AH45" s="72"/>
      <c r="AI45" s="39"/>
      <c r="AJ45" s="72"/>
      <c r="AK45" s="39"/>
      <c r="AL45" s="72"/>
      <c r="AM45" s="39"/>
      <c r="AN45" s="72"/>
      <c r="AO45" s="39"/>
    </row>
    <row r="46" spans="1:41" x14ac:dyDescent="0.2">
      <c r="A46" s="47" t="s">
        <v>95</v>
      </c>
      <c r="B46" s="47" t="s">
        <v>96</v>
      </c>
      <c r="C46" s="51">
        <f t="shared" si="1"/>
        <v>7</v>
      </c>
      <c r="D46" s="98"/>
      <c r="E46" s="99"/>
      <c r="F46" s="72">
        <v>1</v>
      </c>
      <c r="G46" s="36"/>
      <c r="H46" s="72">
        <v>1</v>
      </c>
      <c r="I46" s="36"/>
      <c r="J46" s="72">
        <v>1</v>
      </c>
      <c r="K46" s="43"/>
      <c r="L46" s="72">
        <v>1</v>
      </c>
      <c r="M46" s="36"/>
      <c r="N46" s="72">
        <v>1</v>
      </c>
      <c r="O46" s="36"/>
      <c r="P46" s="72">
        <v>1</v>
      </c>
      <c r="Q46" s="37"/>
      <c r="R46" s="72">
        <v>1</v>
      </c>
      <c r="S46" s="37"/>
      <c r="T46" s="72"/>
      <c r="U46" s="39"/>
      <c r="V46" s="72"/>
      <c r="W46" s="39"/>
      <c r="X46" s="72"/>
      <c r="Y46" s="37"/>
      <c r="Z46" s="72"/>
      <c r="AA46" s="37"/>
      <c r="AB46" s="72"/>
      <c r="AC46" s="39"/>
      <c r="AD46" s="72"/>
      <c r="AE46" s="39"/>
      <c r="AF46" s="72"/>
      <c r="AG46" s="37"/>
      <c r="AH46" s="72"/>
      <c r="AI46" s="39"/>
      <c r="AJ46" s="72"/>
      <c r="AK46" s="39"/>
      <c r="AL46" s="72"/>
      <c r="AM46" s="39"/>
      <c r="AN46" s="72"/>
      <c r="AO46" s="39"/>
    </row>
    <row r="47" spans="1:41" x14ac:dyDescent="0.2">
      <c r="A47" s="47" t="s">
        <v>97</v>
      </c>
      <c r="B47" s="47" t="s">
        <v>92</v>
      </c>
      <c r="C47" s="51">
        <f t="shared" si="1"/>
        <v>15</v>
      </c>
      <c r="D47" s="72">
        <v>1</v>
      </c>
      <c r="E47" s="36"/>
      <c r="F47" s="72">
        <v>1</v>
      </c>
      <c r="G47" s="36"/>
      <c r="H47" s="72">
        <v>1</v>
      </c>
      <c r="I47" s="36"/>
      <c r="J47" s="72">
        <v>2</v>
      </c>
      <c r="K47" s="43" t="s">
        <v>222</v>
      </c>
      <c r="L47" s="72">
        <v>2</v>
      </c>
      <c r="M47" s="43" t="s">
        <v>222</v>
      </c>
      <c r="N47" s="72">
        <v>3</v>
      </c>
      <c r="O47" s="43" t="s">
        <v>343</v>
      </c>
      <c r="P47" s="72">
        <v>3</v>
      </c>
      <c r="Q47" s="43" t="s">
        <v>343</v>
      </c>
      <c r="R47" s="72">
        <v>2</v>
      </c>
      <c r="S47" s="37" t="s">
        <v>330</v>
      </c>
      <c r="T47" s="72"/>
      <c r="U47" s="39"/>
      <c r="V47" s="72"/>
      <c r="W47" s="39"/>
      <c r="X47" s="72"/>
      <c r="Y47" s="37"/>
      <c r="Z47" s="72"/>
      <c r="AA47" s="37"/>
      <c r="AB47" s="72"/>
      <c r="AC47" s="39"/>
      <c r="AD47" s="72"/>
      <c r="AE47" s="39"/>
      <c r="AF47" s="72"/>
      <c r="AG47" s="37"/>
      <c r="AH47" s="72"/>
      <c r="AI47" s="39"/>
      <c r="AJ47" s="72"/>
      <c r="AK47" s="39"/>
      <c r="AL47" s="72"/>
      <c r="AM47" s="39"/>
      <c r="AN47" s="72"/>
      <c r="AO47" s="39"/>
    </row>
    <row r="48" spans="1:41" x14ac:dyDescent="0.2">
      <c r="A48" s="47" t="s">
        <v>98</v>
      </c>
      <c r="B48" s="47" t="s">
        <v>99</v>
      </c>
      <c r="C48" s="51">
        <f t="shared" si="1"/>
        <v>16</v>
      </c>
      <c r="D48" s="72">
        <v>1</v>
      </c>
      <c r="E48" s="36"/>
      <c r="F48" s="72">
        <v>1</v>
      </c>
      <c r="G48" s="36"/>
      <c r="H48" s="72">
        <v>1</v>
      </c>
      <c r="I48" s="36"/>
      <c r="J48" s="72">
        <v>2</v>
      </c>
      <c r="K48" s="43" t="s">
        <v>222</v>
      </c>
      <c r="L48" s="72">
        <v>2</v>
      </c>
      <c r="M48" s="36" t="s">
        <v>222</v>
      </c>
      <c r="N48" s="72">
        <v>3</v>
      </c>
      <c r="O48" s="36" t="s">
        <v>344</v>
      </c>
      <c r="P48" s="72">
        <v>3</v>
      </c>
      <c r="Q48" s="37" t="s">
        <v>344</v>
      </c>
      <c r="R48" s="72">
        <v>3</v>
      </c>
      <c r="S48" s="37" t="s">
        <v>345</v>
      </c>
      <c r="T48" s="72"/>
      <c r="U48" s="39"/>
      <c r="V48" s="72"/>
      <c r="W48" s="39"/>
      <c r="X48" s="72"/>
      <c r="Y48" s="37"/>
      <c r="Z48" s="72"/>
      <c r="AA48" s="37"/>
      <c r="AB48" s="72"/>
      <c r="AC48" s="39"/>
      <c r="AD48" s="72"/>
      <c r="AE48" s="39"/>
      <c r="AF48" s="72"/>
      <c r="AG48" s="37"/>
      <c r="AH48" s="72"/>
      <c r="AI48" s="39"/>
      <c r="AJ48" s="72"/>
      <c r="AK48" s="39"/>
      <c r="AL48" s="72"/>
      <c r="AM48" s="39"/>
      <c r="AN48" s="72"/>
      <c r="AO48" s="39"/>
    </row>
    <row r="49" spans="1:41" x14ac:dyDescent="0.2">
      <c r="A49" s="47" t="s">
        <v>100</v>
      </c>
      <c r="B49" s="47" t="s">
        <v>101</v>
      </c>
      <c r="C49" s="51">
        <f t="shared" si="1"/>
        <v>3</v>
      </c>
      <c r="D49" s="98"/>
      <c r="E49" s="99"/>
      <c r="F49" s="98"/>
      <c r="G49" s="99"/>
      <c r="H49" s="98"/>
      <c r="I49" s="99"/>
      <c r="J49" s="98"/>
      <c r="K49" s="100"/>
      <c r="L49" s="98"/>
      <c r="M49" s="99"/>
      <c r="N49" s="72">
        <v>1</v>
      </c>
      <c r="O49" s="36"/>
      <c r="P49" s="72">
        <v>1</v>
      </c>
      <c r="Q49" s="37"/>
      <c r="R49" s="72">
        <v>1</v>
      </c>
      <c r="S49" s="37"/>
      <c r="T49" s="72"/>
      <c r="U49" s="39"/>
      <c r="V49" s="72"/>
      <c r="W49" s="39"/>
      <c r="X49" s="72"/>
      <c r="Y49" s="37"/>
      <c r="Z49" s="72"/>
      <c r="AA49" s="37"/>
      <c r="AB49" s="72"/>
      <c r="AC49" s="39"/>
      <c r="AD49" s="72"/>
      <c r="AE49" s="39"/>
      <c r="AF49" s="72"/>
      <c r="AG49" s="37"/>
      <c r="AH49" s="72"/>
      <c r="AI49" s="39"/>
      <c r="AJ49" s="72"/>
      <c r="AK49" s="39"/>
      <c r="AL49" s="72"/>
      <c r="AM49" s="39"/>
      <c r="AN49" s="72"/>
      <c r="AO49" s="39"/>
    </row>
    <row r="50" spans="1:41" x14ac:dyDescent="0.2">
      <c r="A50" s="47" t="s">
        <v>102</v>
      </c>
      <c r="B50" s="47" t="s">
        <v>103</v>
      </c>
      <c r="C50" s="51">
        <f t="shared" si="1"/>
        <v>6</v>
      </c>
      <c r="D50" s="98"/>
      <c r="E50" s="99"/>
      <c r="F50" s="98"/>
      <c r="G50" s="99"/>
      <c r="H50" s="72">
        <v>1</v>
      </c>
      <c r="I50" s="36"/>
      <c r="J50" s="72">
        <v>1</v>
      </c>
      <c r="K50" s="43"/>
      <c r="L50" s="72">
        <v>1</v>
      </c>
      <c r="M50" s="36"/>
      <c r="N50" s="72">
        <v>1</v>
      </c>
      <c r="O50" s="36"/>
      <c r="P50" s="72">
        <v>1</v>
      </c>
      <c r="Q50" s="37"/>
      <c r="R50" s="72">
        <v>1</v>
      </c>
      <c r="S50" s="37"/>
      <c r="T50" s="72"/>
      <c r="U50" s="39"/>
      <c r="V50" s="72"/>
      <c r="W50" s="39"/>
      <c r="X50" s="72"/>
      <c r="Y50" s="37"/>
      <c r="Z50" s="72"/>
      <c r="AA50" s="37"/>
      <c r="AB50" s="72"/>
      <c r="AC50" s="39"/>
      <c r="AD50" s="72"/>
      <c r="AE50" s="39"/>
      <c r="AF50" s="72"/>
      <c r="AG50" s="37"/>
      <c r="AH50" s="72"/>
      <c r="AI50" s="39"/>
      <c r="AJ50" s="72"/>
      <c r="AK50" s="39"/>
      <c r="AL50" s="72"/>
      <c r="AM50" s="39"/>
      <c r="AN50" s="72"/>
      <c r="AO50" s="39"/>
    </row>
    <row r="51" spans="1:41" x14ac:dyDescent="0.2">
      <c r="A51" s="47" t="s">
        <v>104</v>
      </c>
      <c r="B51" s="47" t="s">
        <v>105</v>
      </c>
      <c r="C51" s="51">
        <f t="shared" si="1"/>
        <v>19</v>
      </c>
      <c r="D51" s="98"/>
      <c r="E51" s="99"/>
      <c r="F51" s="72">
        <v>1</v>
      </c>
      <c r="G51" s="36"/>
      <c r="H51" s="72">
        <v>1</v>
      </c>
      <c r="I51" s="36"/>
      <c r="J51" s="72">
        <v>1</v>
      </c>
      <c r="K51" s="43"/>
      <c r="L51" s="72">
        <v>1</v>
      </c>
      <c r="M51" s="36"/>
      <c r="N51" s="72">
        <v>5</v>
      </c>
      <c r="O51" s="36" t="s">
        <v>235</v>
      </c>
      <c r="P51" s="72">
        <v>5</v>
      </c>
      <c r="Q51" s="37" t="s">
        <v>235</v>
      </c>
      <c r="R51" s="72">
        <v>5</v>
      </c>
      <c r="S51" s="37" t="s">
        <v>235</v>
      </c>
      <c r="T51" s="72"/>
      <c r="U51" s="39"/>
      <c r="V51" s="72"/>
      <c r="W51" s="39"/>
      <c r="X51" s="72"/>
      <c r="Y51" s="37"/>
      <c r="Z51" s="72"/>
      <c r="AA51" s="37"/>
      <c r="AB51" s="72"/>
      <c r="AC51" s="39"/>
      <c r="AD51" s="72"/>
      <c r="AE51" s="39"/>
      <c r="AF51" s="72"/>
      <c r="AG51" s="37"/>
      <c r="AH51" s="72"/>
      <c r="AI51" s="39"/>
      <c r="AJ51" s="72"/>
      <c r="AK51" s="39"/>
      <c r="AL51" s="72"/>
      <c r="AM51" s="39"/>
      <c r="AN51" s="72"/>
      <c r="AO51" s="39"/>
    </row>
    <row r="52" spans="1:41" x14ac:dyDescent="0.2">
      <c r="A52" s="47" t="s">
        <v>108</v>
      </c>
      <c r="B52" s="47" t="s">
        <v>109</v>
      </c>
      <c r="C52" s="51">
        <f t="shared" si="1"/>
        <v>3</v>
      </c>
      <c r="D52" s="98"/>
      <c r="E52" s="99"/>
      <c r="F52" s="98"/>
      <c r="G52" s="99"/>
      <c r="H52" s="98"/>
      <c r="I52" s="99"/>
      <c r="J52" s="98"/>
      <c r="K52" s="100"/>
      <c r="L52" s="98"/>
      <c r="M52" s="99"/>
      <c r="N52" s="72">
        <v>1</v>
      </c>
      <c r="O52" s="36"/>
      <c r="P52" s="72">
        <v>1</v>
      </c>
      <c r="Q52" s="37"/>
      <c r="R52" s="72">
        <v>1</v>
      </c>
      <c r="S52" s="37"/>
      <c r="T52" s="72"/>
      <c r="U52" s="39"/>
      <c r="V52" s="72"/>
      <c r="W52" s="39"/>
      <c r="X52" s="72"/>
      <c r="Y52" s="37"/>
      <c r="Z52" s="72"/>
      <c r="AA52" s="37"/>
      <c r="AB52" s="72"/>
      <c r="AC52" s="39"/>
      <c r="AD52" s="72"/>
      <c r="AE52" s="39"/>
      <c r="AF52" s="72"/>
      <c r="AG52" s="37"/>
      <c r="AH52" s="72"/>
      <c r="AI52" s="39"/>
      <c r="AJ52" s="72"/>
      <c r="AK52" s="39"/>
      <c r="AL52" s="72"/>
      <c r="AM52" s="39"/>
      <c r="AN52" s="72"/>
      <c r="AO52" s="39"/>
    </row>
    <row r="53" spans="1:41" x14ac:dyDescent="0.2">
      <c r="A53" s="47" t="s">
        <v>110</v>
      </c>
      <c r="B53" s="47" t="s">
        <v>53</v>
      </c>
      <c r="C53" s="51">
        <f t="shared" si="1"/>
        <v>2</v>
      </c>
      <c r="D53" s="98"/>
      <c r="E53" s="99"/>
      <c r="F53" s="98"/>
      <c r="G53" s="99"/>
      <c r="H53" s="98"/>
      <c r="I53" s="99"/>
      <c r="J53" s="98"/>
      <c r="K53" s="100"/>
      <c r="L53" s="98"/>
      <c r="M53" s="99"/>
      <c r="N53" s="98"/>
      <c r="O53" s="99"/>
      <c r="P53" s="72">
        <v>1</v>
      </c>
      <c r="Q53" s="37"/>
      <c r="R53" s="72">
        <v>1</v>
      </c>
      <c r="S53" s="37"/>
      <c r="T53" s="72"/>
      <c r="U53" s="39"/>
      <c r="V53" s="72"/>
      <c r="W53" s="39"/>
      <c r="X53" s="72"/>
      <c r="Y53" s="37"/>
      <c r="Z53" s="72"/>
      <c r="AA53" s="37"/>
      <c r="AB53" s="72"/>
      <c r="AC53" s="39"/>
      <c r="AD53" s="72"/>
      <c r="AE53" s="39"/>
      <c r="AF53" s="72"/>
      <c r="AG53" s="37"/>
      <c r="AH53" s="72"/>
      <c r="AI53" s="39"/>
      <c r="AJ53" s="72"/>
      <c r="AK53" s="39"/>
      <c r="AL53" s="72"/>
      <c r="AM53" s="39"/>
      <c r="AN53" s="72"/>
      <c r="AO53" s="39"/>
    </row>
    <row r="54" spans="1:41" x14ac:dyDescent="0.2">
      <c r="A54" s="47" t="s">
        <v>111</v>
      </c>
      <c r="B54" s="47" t="s">
        <v>76</v>
      </c>
      <c r="C54" s="51">
        <f t="shared" si="1"/>
        <v>7</v>
      </c>
      <c r="D54" s="98"/>
      <c r="E54" s="99"/>
      <c r="F54" s="72">
        <v>1</v>
      </c>
      <c r="G54" s="36"/>
      <c r="H54" s="72">
        <v>1</v>
      </c>
      <c r="I54" s="36"/>
      <c r="J54" s="72">
        <v>1</v>
      </c>
      <c r="K54" s="43"/>
      <c r="L54" s="72">
        <v>1</v>
      </c>
      <c r="M54" s="36"/>
      <c r="N54" s="72">
        <v>1</v>
      </c>
      <c r="O54" s="36"/>
      <c r="P54" s="72">
        <v>1</v>
      </c>
      <c r="Q54" s="37"/>
      <c r="R54" s="72">
        <v>1</v>
      </c>
      <c r="S54" s="37"/>
      <c r="T54" s="72"/>
      <c r="U54" s="39"/>
      <c r="V54" s="72"/>
      <c r="W54" s="39"/>
      <c r="X54" s="72"/>
      <c r="Y54" s="37"/>
      <c r="Z54" s="72"/>
      <c r="AA54" s="37"/>
      <c r="AB54" s="72"/>
      <c r="AC54" s="39"/>
      <c r="AD54" s="72"/>
      <c r="AE54" s="39"/>
      <c r="AF54" s="72"/>
      <c r="AG54" s="37"/>
      <c r="AH54" s="72"/>
      <c r="AI54" s="39"/>
      <c r="AJ54" s="72"/>
      <c r="AK54" s="39"/>
      <c r="AL54" s="72"/>
      <c r="AM54" s="39"/>
      <c r="AN54" s="72"/>
      <c r="AO54" s="39"/>
    </row>
    <row r="55" spans="1:41" x14ac:dyDescent="0.2">
      <c r="A55" s="47" t="s">
        <v>112</v>
      </c>
      <c r="B55" s="47" t="s">
        <v>96</v>
      </c>
      <c r="C55" s="51">
        <f t="shared" si="1"/>
        <v>4</v>
      </c>
      <c r="D55" s="98"/>
      <c r="E55" s="99"/>
      <c r="F55" s="98"/>
      <c r="G55" s="99"/>
      <c r="H55" s="98"/>
      <c r="I55" s="99"/>
      <c r="J55" s="98"/>
      <c r="K55" s="100"/>
      <c r="L55" s="98"/>
      <c r="M55" s="99"/>
      <c r="N55" s="72">
        <v>1</v>
      </c>
      <c r="O55" s="36"/>
      <c r="P55" s="72">
        <v>1</v>
      </c>
      <c r="Q55" s="37"/>
      <c r="R55" s="72">
        <v>2</v>
      </c>
      <c r="S55" s="37" t="s">
        <v>341</v>
      </c>
      <c r="T55" s="72"/>
      <c r="U55" s="39"/>
      <c r="V55" s="72"/>
      <c r="W55" s="39"/>
      <c r="X55" s="72"/>
      <c r="Y55" s="37"/>
      <c r="Z55" s="72"/>
      <c r="AA55" s="37"/>
      <c r="AB55" s="72"/>
      <c r="AC55" s="39"/>
      <c r="AD55" s="72"/>
      <c r="AE55" s="39"/>
      <c r="AF55" s="72"/>
      <c r="AG55" s="37"/>
      <c r="AH55" s="72"/>
      <c r="AI55" s="39"/>
      <c r="AJ55" s="72"/>
      <c r="AK55" s="39"/>
      <c r="AL55" s="72"/>
      <c r="AM55" s="39"/>
      <c r="AN55" s="72"/>
      <c r="AO55" s="39"/>
    </row>
    <row r="56" spans="1:41" x14ac:dyDescent="0.2">
      <c r="A56" s="47" t="s">
        <v>113</v>
      </c>
      <c r="B56" s="47" t="s">
        <v>114</v>
      </c>
      <c r="C56" s="51">
        <f t="shared" si="1"/>
        <v>7</v>
      </c>
      <c r="D56" s="98"/>
      <c r="E56" s="99"/>
      <c r="F56" s="72">
        <v>1</v>
      </c>
      <c r="G56" s="36"/>
      <c r="H56" s="72">
        <v>1</v>
      </c>
      <c r="I56" s="36"/>
      <c r="J56" s="72">
        <v>1</v>
      </c>
      <c r="K56" s="43"/>
      <c r="L56" s="72">
        <v>1</v>
      </c>
      <c r="M56" s="36"/>
      <c r="N56" s="72">
        <v>1</v>
      </c>
      <c r="O56" s="36"/>
      <c r="P56" s="72">
        <v>1</v>
      </c>
      <c r="Q56" s="37"/>
      <c r="R56" s="72">
        <v>1</v>
      </c>
      <c r="S56" s="37"/>
      <c r="T56" s="72"/>
      <c r="U56" s="39"/>
      <c r="V56" s="72"/>
      <c r="W56" s="39"/>
      <c r="X56" s="72"/>
      <c r="Y56" s="37"/>
      <c r="Z56" s="72"/>
      <c r="AA56" s="37"/>
      <c r="AB56" s="72"/>
      <c r="AC56" s="39"/>
      <c r="AD56" s="72"/>
      <c r="AE56" s="39"/>
      <c r="AF56" s="72"/>
      <c r="AG56" s="37"/>
      <c r="AH56" s="72"/>
      <c r="AI56" s="39"/>
      <c r="AJ56" s="72"/>
      <c r="AK56" s="39"/>
      <c r="AL56" s="72"/>
      <c r="AM56" s="39"/>
      <c r="AN56" s="72"/>
      <c r="AO56" s="39"/>
    </row>
    <row r="57" spans="1:41" x14ac:dyDescent="0.2">
      <c r="A57" s="47" t="s">
        <v>115</v>
      </c>
      <c r="B57" s="47" t="s">
        <v>181</v>
      </c>
      <c r="C57" s="51">
        <f t="shared" si="1"/>
        <v>2</v>
      </c>
      <c r="D57" s="98"/>
      <c r="E57" s="99"/>
      <c r="F57" s="98"/>
      <c r="G57" s="99"/>
      <c r="H57" s="98"/>
      <c r="I57" s="99"/>
      <c r="J57" s="98"/>
      <c r="K57" s="100"/>
      <c r="L57" s="98"/>
      <c r="M57" s="99"/>
      <c r="N57" s="98"/>
      <c r="O57" s="99"/>
      <c r="P57" s="72">
        <v>1</v>
      </c>
      <c r="Q57" s="37"/>
      <c r="R57" s="72">
        <v>1</v>
      </c>
      <c r="S57" s="37"/>
      <c r="T57" s="72"/>
      <c r="U57" s="39"/>
      <c r="V57" s="72"/>
      <c r="W57" s="39"/>
      <c r="X57" s="72"/>
      <c r="Y57" s="37"/>
      <c r="Z57" s="72"/>
      <c r="AA57" s="37"/>
      <c r="AB57" s="72"/>
      <c r="AC57" s="39"/>
      <c r="AD57" s="72"/>
      <c r="AE57" s="39"/>
      <c r="AF57" s="72"/>
      <c r="AG57" s="37"/>
      <c r="AH57" s="72"/>
      <c r="AI57" s="39"/>
      <c r="AJ57" s="72"/>
      <c r="AK57" s="39"/>
      <c r="AL57" s="72"/>
      <c r="AM57" s="39"/>
      <c r="AN57" s="72"/>
      <c r="AO57" s="39"/>
    </row>
    <row r="58" spans="1:41" x14ac:dyDescent="0.2">
      <c r="A58" s="47" t="s">
        <v>116</v>
      </c>
      <c r="B58" s="47" t="s">
        <v>117</v>
      </c>
      <c r="C58" s="51">
        <f t="shared" si="1"/>
        <v>1</v>
      </c>
      <c r="D58" s="98"/>
      <c r="E58" s="99"/>
      <c r="F58" s="98"/>
      <c r="G58" s="99"/>
      <c r="H58" s="98"/>
      <c r="I58" s="99"/>
      <c r="J58" s="98"/>
      <c r="K58" s="100"/>
      <c r="L58" s="98"/>
      <c r="M58" s="99"/>
      <c r="N58" s="98"/>
      <c r="O58" s="99"/>
      <c r="P58" s="98"/>
      <c r="Q58" s="101"/>
      <c r="R58" s="72">
        <v>1</v>
      </c>
      <c r="S58" s="37"/>
      <c r="T58" s="72"/>
      <c r="U58" s="39"/>
      <c r="V58" s="72"/>
      <c r="W58" s="39"/>
      <c r="X58" s="72"/>
      <c r="Y58" s="37"/>
      <c r="Z58" s="72"/>
      <c r="AA58" s="37"/>
      <c r="AB58" s="72"/>
      <c r="AC58" s="39"/>
      <c r="AD58" s="72"/>
      <c r="AE58" s="39"/>
      <c r="AF58" s="72"/>
      <c r="AG58" s="37"/>
      <c r="AH58" s="72"/>
      <c r="AI58" s="39"/>
      <c r="AJ58" s="72"/>
      <c r="AK58" s="39"/>
      <c r="AL58" s="72"/>
      <c r="AM58" s="39"/>
      <c r="AN58" s="72"/>
      <c r="AO58" s="39"/>
    </row>
    <row r="59" spans="1:41" x14ac:dyDescent="0.2">
      <c r="A59" s="47" t="s">
        <v>118</v>
      </c>
      <c r="B59" s="47" t="s">
        <v>119</v>
      </c>
      <c r="C59" s="51">
        <f t="shared" si="1"/>
        <v>8</v>
      </c>
      <c r="D59" s="72">
        <v>1</v>
      </c>
      <c r="E59" s="36"/>
      <c r="F59" s="72">
        <v>1</v>
      </c>
      <c r="G59" s="36"/>
      <c r="H59" s="72">
        <v>1</v>
      </c>
      <c r="I59" s="36"/>
      <c r="J59" s="72">
        <v>1</v>
      </c>
      <c r="K59" s="43"/>
      <c r="L59" s="72">
        <v>1</v>
      </c>
      <c r="M59" s="36"/>
      <c r="N59" s="72">
        <v>1</v>
      </c>
      <c r="O59" s="36"/>
      <c r="P59" s="72">
        <v>1</v>
      </c>
      <c r="Q59" s="37"/>
      <c r="R59" s="72">
        <v>1</v>
      </c>
      <c r="S59" s="37"/>
      <c r="T59" s="72"/>
      <c r="U59" s="39"/>
      <c r="V59" s="72"/>
      <c r="W59" s="39"/>
      <c r="X59" s="72"/>
      <c r="Y59" s="37"/>
      <c r="Z59" s="72"/>
      <c r="AA59" s="37"/>
      <c r="AB59" s="72"/>
      <c r="AC59" s="39"/>
      <c r="AD59" s="72"/>
      <c r="AE59" s="39"/>
      <c r="AF59" s="72"/>
      <c r="AG59" s="37"/>
      <c r="AH59" s="72"/>
      <c r="AI59" s="39"/>
      <c r="AJ59" s="72"/>
      <c r="AK59" s="39"/>
      <c r="AL59" s="72"/>
      <c r="AM59" s="39"/>
      <c r="AN59" s="72"/>
      <c r="AO59" s="39"/>
    </row>
    <row r="60" spans="1:41" x14ac:dyDescent="0.2">
      <c r="A60" s="47" t="s">
        <v>120</v>
      </c>
      <c r="B60" s="47" t="s">
        <v>121</v>
      </c>
      <c r="C60" s="51">
        <f t="shared" si="1"/>
        <v>12</v>
      </c>
      <c r="D60" s="72">
        <v>1</v>
      </c>
      <c r="E60" s="36"/>
      <c r="F60" s="72">
        <v>1</v>
      </c>
      <c r="G60" s="36"/>
      <c r="H60" s="72">
        <v>1</v>
      </c>
      <c r="I60" s="36"/>
      <c r="J60" s="72">
        <v>2</v>
      </c>
      <c r="K60" s="43" t="s">
        <v>309</v>
      </c>
      <c r="L60" s="72">
        <v>2</v>
      </c>
      <c r="M60" s="43" t="s">
        <v>309</v>
      </c>
      <c r="N60" s="72">
        <v>2</v>
      </c>
      <c r="O60" s="43" t="s">
        <v>309</v>
      </c>
      <c r="P60" s="72">
        <v>2</v>
      </c>
      <c r="Q60" s="43" t="s">
        <v>309</v>
      </c>
      <c r="R60" s="72">
        <v>1</v>
      </c>
      <c r="S60" s="37"/>
      <c r="T60" s="72"/>
      <c r="U60" s="39"/>
      <c r="V60" s="72"/>
      <c r="W60" s="39"/>
      <c r="X60" s="72"/>
      <c r="Y60" s="37"/>
      <c r="Z60" s="72"/>
      <c r="AA60" s="37"/>
      <c r="AB60" s="72"/>
      <c r="AC60" s="39"/>
      <c r="AD60" s="72"/>
      <c r="AE60" s="39"/>
      <c r="AF60" s="72"/>
      <c r="AG60" s="37"/>
      <c r="AH60" s="72"/>
      <c r="AI60" s="39"/>
      <c r="AJ60" s="72"/>
      <c r="AK60" s="39"/>
      <c r="AL60" s="72"/>
      <c r="AM60" s="39"/>
      <c r="AN60" s="72"/>
      <c r="AO60" s="39"/>
    </row>
    <row r="61" spans="1:41" x14ac:dyDescent="0.2">
      <c r="A61" s="47" t="s">
        <v>122</v>
      </c>
      <c r="B61" s="47" t="s">
        <v>123</v>
      </c>
      <c r="C61" s="51">
        <f t="shared" si="1"/>
        <v>7</v>
      </c>
      <c r="D61" s="98"/>
      <c r="E61" s="99"/>
      <c r="F61" s="72">
        <v>1</v>
      </c>
      <c r="G61" s="36"/>
      <c r="H61" s="72">
        <v>1</v>
      </c>
      <c r="I61" s="36"/>
      <c r="J61" s="72">
        <v>1</v>
      </c>
      <c r="K61" s="43"/>
      <c r="L61" s="72">
        <v>1</v>
      </c>
      <c r="M61" s="36"/>
      <c r="N61" s="72">
        <v>1</v>
      </c>
      <c r="O61" s="36"/>
      <c r="P61" s="72">
        <v>1</v>
      </c>
      <c r="Q61" s="37"/>
      <c r="R61" s="72">
        <v>1</v>
      </c>
      <c r="S61" s="37"/>
      <c r="T61" s="72"/>
      <c r="U61" s="39"/>
      <c r="V61" s="72"/>
      <c r="W61" s="39"/>
      <c r="X61" s="72"/>
      <c r="Y61" s="37"/>
      <c r="Z61" s="72"/>
      <c r="AA61" s="37"/>
      <c r="AB61" s="72"/>
      <c r="AC61" s="39"/>
      <c r="AD61" s="72"/>
      <c r="AE61" s="39"/>
      <c r="AF61" s="72"/>
      <c r="AG61" s="37"/>
      <c r="AH61" s="72"/>
      <c r="AI61" s="39"/>
      <c r="AJ61" s="72"/>
      <c r="AK61" s="39"/>
      <c r="AL61" s="72"/>
      <c r="AM61" s="39"/>
      <c r="AN61" s="72"/>
      <c r="AO61" s="39"/>
    </row>
    <row r="62" spans="1:41" x14ac:dyDescent="0.2">
      <c r="A62" s="47" t="s">
        <v>124</v>
      </c>
      <c r="B62" s="47" t="s">
        <v>48</v>
      </c>
      <c r="C62" s="51">
        <f t="shared" si="1"/>
        <v>17</v>
      </c>
      <c r="D62" s="72">
        <v>2</v>
      </c>
      <c r="E62" s="36" t="s">
        <v>336</v>
      </c>
      <c r="F62" s="72">
        <v>1</v>
      </c>
      <c r="G62" s="36"/>
      <c r="H62" s="72">
        <v>1</v>
      </c>
      <c r="I62" s="36"/>
      <c r="J62" s="72">
        <v>2</v>
      </c>
      <c r="K62" s="43" t="s">
        <v>311</v>
      </c>
      <c r="L62" s="72">
        <v>2</v>
      </c>
      <c r="M62" s="43" t="s">
        <v>311</v>
      </c>
      <c r="N62" s="72">
        <v>3</v>
      </c>
      <c r="O62" s="43" t="s">
        <v>346</v>
      </c>
      <c r="P62" s="72">
        <v>2</v>
      </c>
      <c r="Q62" s="43" t="s">
        <v>311</v>
      </c>
      <c r="R62" s="72">
        <v>4</v>
      </c>
      <c r="S62" s="37" t="s">
        <v>256</v>
      </c>
      <c r="T62" s="72"/>
      <c r="U62" s="39"/>
      <c r="V62" s="72"/>
      <c r="W62" s="39"/>
      <c r="X62" s="72"/>
      <c r="Y62" s="37"/>
      <c r="Z62" s="72"/>
      <c r="AA62" s="37"/>
      <c r="AB62" s="72"/>
      <c r="AC62" s="39"/>
      <c r="AD62" s="72"/>
      <c r="AE62" s="39"/>
      <c r="AF62" s="72"/>
      <c r="AG62" s="37"/>
      <c r="AH62" s="72"/>
      <c r="AI62" s="39"/>
      <c r="AJ62" s="72"/>
      <c r="AK62" s="39"/>
      <c r="AL62" s="72"/>
      <c r="AM62" s="39"/>
      <c r="AN62" s="72"/>
      <c r="AO62" s="39"/>
    </row>
    <row r="63" spans="1:41" x14ac:dyDescent="0.2">
      <c r="A63" s="47" t="s">
        <v>125</v>
      </c>
      <c r="B63" s="47" t="s">
        <v>126</v>
      </c>
      <c r="C63" s="51">
        <f t="shared" si="1"/>
        <v>2</v>
      </c>
      <c r="D63" s="98"/>
      <c r="E63" s="99"/>
      <c r="F63" s="98"/>
      <c r="G63" s="99"/>
      <c r="H63" s="98"/>
      <c r="I63" s="99"/>
      <c r="J63" s="98"/>
      <c r="K63" s="100"/>
      <c r="L63" s="98"/>
      <c r="M63" s="99"/>
      <c r="N63" s="98"/>
      <c r="O63" s="99"/>
      <c r="P63" s="72">
        <v>1</v>
      </c>
      <c r="Q63" s="37"/>
      <c r="R63" s="72">
        <v>1</v>
      </c>
      <c r="S63" s="37"/>
      <c r="T63" s="72"/>
      <c r="U63" s="39"/>
      <c r="V63" s="72"/>
      <c r="W63" s="39"/>
      <c r="X63" s="72"/>
      <c r="Y63" s="37"/>
      <c r="Z63" s="72"/>
      <c r="AA63" s="37"/>
      <c r="AB63" s="72"/>
      <c r="AC63" s="39"/>
      <c r="AD63" s="72"/>
      <c r="AE63" s="39"/>
      <c r="AF63" s="72"/>
      <c r="AG63" s="37"/>
      <c r="AH63" s="72"/>
      <c r="AI63" s="39"/>
      <c r="AJ63" s="72"/>
      <c r="AK63" s="39"/>
      <c r="AL63" s="72"/>
      <c r="AM63" s="39"/>
      <c r="AN63" s="72"/>
      <c r="AO63" s="39"/>
    </row>
    <row r="64" spans="1:41" x14ac:dyDescent="0.2">
      <c r="A64" s="47" t="s">
        <v>127</v>
      </c>
      <c r="B64" s="47" t="s">
        <v>128</v>
      </c>
      <c r="C64" s="51">
        <f t="shared" ref="C64:C92" si="2">SUM(D64+F64+H64+J64+L64+N64+P64+R64+T64+V64+X64+Z64+AB64+AD64+AF64+AH64+AJ64+AL64+AN64)</f>
        <v>5</v>
      </c>
      <c r="D64" s="98"/>
      <c r="E64" s="99"/>
      <c r="F64" s="98"/>
      <c r="G64" s="99"/>
      <c r="H64" s="98"/>
      <c r="I64" s="99"/>
      <c r="J64" s="72">
        <v>1</v>
      </c>
      <c r="K64" s="43"/>
      <c r="L64" s="72">
        <v>1</v>
      </c>
      <c r="M64" s="36"/>
      <c r="N64" s="72">
        <v>1</v>
      </c>
      <c r="O64" s="36"/>
      <c r="P64" s="72">
        <v>1</v>
      </c>
      <c r="Q64" s="37"/>
      <c r="R64" s="72">
        <v>1</v>
      </c>
      <c r="S64" s="37"/>
      <c r="T64" s="72"/>
      <c r="U64" s="39"/>
      <c r="V64" s="72"/>
      <c r="W64" s="39"/>
      <c r="X64" s="72"/>
      <c r="Y64" s="37"/>
      <c r="Z64" s="72"/>
      <c r="AA64" s="37"/>
      <c r="AB64" s="72"/>
      <c r="AC64" s="39"/>
      <c r="AD64" s="72"/>
      <c r="AE64" s="39"/>
      <c r="AF64" s="72"/>
      <c r="AG64" s="37"/>
      <c r="AH64" s="72"/>
      <c r="AI64" s="39"/>
      <c r="AJ64" s="72"/>
      <c r="AK64" s="39"/>
      <c r="AL64" s="72"/>
      <c r="AM64" s="39"/>
      <c r="AN64" s="72"/>
      <c r="AO64" s="39"/>
    </row>
    <row r="65" spans="1:41" x14ac:dyDescent="0.2">
      <c r="A65" s="47" t="s">
        <v>129</v>
      </c>
      <c r="B65" s="47" t="s">
        <v>130</v>
      </c>
      <c r="C65" s="51">
        <f t="shared" si="2"/>
        <v>2</v>
      </c>
      <c r="D65" s="98"/>
      <c r="E65" s="99"/>
      <c r="F65" s="98"/>
      <c r="G65" s="99"/>
      <c r="H65" s="98"/>
      <c r="I65" s="99"/>
      <c r="J65" s="98"/>
      <c r="K65" s="100"/>
      <c r="L65" s="98"/>
      <c r="M65" s="99"/>
      <c r="N65" s="98"/>
      <c r="O65" s="99"/>
      <c r="P65" s="72">
        <v>1</v>
      </c>
      <c r="Q65" s="37"/>
      <c r="R65" s="72">
        <v>1</v>
      </c>
      <c r="S65" s="37"/>
      <c r="T65" s="72"/>
      <c r="U65" s="39"/>
      <c r="V65" s="72"/>
      <c r="W65" s="39"/>
      <c r="X65" s="72"/>
      <c r="Y65" s="37"/>
      <c r="Z65" s="72"/>
      <c r="AA65" s="37"/>
      <c r="AB65" s="72"/>
      <c r="AC65" s="39"/>
      <c r="AD65" s="72"/>
      <c r="AE65" s="39"/>
      <c r="AF65" s="72"/>
      <c r="AG65" s="37"/>
      <c r="AH65" s="72"/>
      <c r="AI65" s="39"/>
      <c r="AJ65" s="72"/>
      <c r="AK65" s="39"/>
      <c r="AL65" s="72"/>
      <c r="AM65" s="39"/>
      <c r="AN65" s="72"/>
      <c r="AO65" s="39"/>
    </row>
    <row r="66" spans="1:41" x14ac:dyDescent="0.2">
      <c r="A66" s="47" t="s">
        <v>131</v>
      </c>
      <c r="B66" s="47" t="s">
        <v>31</v>
      </c>
      <c r="C66" s="51">
        <f t="shared" si="2"/>
        <v>8</v>
      </c>
      <c r="D66" s="72">
        <v>1</v>
      </c>
      <c r="E66" s="36"/>
      <c r="F66" s="72">
        <v>1</v>
      </c>
      <c r="G66" s="36"/>
      <c r="H66" s="72">
        <v>1</v>
      </c>
      <c r="I66" s="36"/>
      <c r="J66" s="72">
        <v>1</v>
      </c>
      <c r="K66" s="43"/>
      <c r="L66" s="72">
        <v>1</v>
      </c>
      <c r="M66" s="36"/>
      <c r="N66" s="72">
        <v>1</v>
      </c>
      <c r="O66" s="36"/>
      <c r="P66" s="72">
        <v>1</v>
      </c>
      <c r="Q66" s="37"/>
      <c r="R66" s="72">
        <v>1</v>
      </c>
      <c r="S66" s="37"/>
      <c r="T66" s="72"/>
      <c r="U66" s="39"/>
      <c r="V66" s="72"/>
      <c r="W66" s="39"/>
      <c r="X66" s="72"/>
      <c r="Y66" s="37"/>
      <c r="Z66" s="72"/>
      <c r="AA66" s="37"/>
      <c r="AB66" s="72"/>
      <c r="AC66" s="39"/>
      <c r="AD66" s="72"/>
      <c r="AE66" s="39"/>
      <c r="AF66" s="72"/>
      <c r="AG66" s="37"/>
      <c r="AH66" s="72"/>
      <c r="AI66" s="39"/>
      <c r="AJ66" s="72"/>
      <c r="AK66" s="39"/>
      <c r="AL66" s="72"/>
      <c r="AM66" s="39"/>
      <c r="AN66" s="72"/>
      <c r="AO66" s="39"/>
    </row>
    <row r="67" spans="1:41" x14ac:dyDescent="0.2">
      <c r="A67" s="47" t="s">
        <v>132</v>
      </c>
      <c r="B67" s="47" t="s">
        <v>126</v>
      </c>
      <c r="C67" s="51">
        <f t="shared" si="2"/>
        <v>8</v>
      </c>
      <c r="D67" s="72">
        <v>1</v>
      </c>
      <c r="E67" s="36"/>
      <c r="F67" s="72">
        <v>1</v>
      </c>
      <c r="G67" s="36"/>
      <c r="H67" s="72">
        <v>1</v>
      </c>
      <c r="I67" s="36"/>
      <c r="J67" s="72">
        <v>1</v>
      </c>
      <c r="K67" s="43"/>
      <c r="L67" s="72">
        <v>1</v>
      </c>
      <c r="M67" s="36"/>
      <c r="N67" s="72">
        <v>1</v>
      </c>
      <c r="O67" s="36"/>
      <c r="P67" s="72">
        <v>1</v>
      </c>
      <c r="Q67" s="37"/>
      <c r="R67" s="72">
        <v>1</v>
      </c>
      <c r="S67" s="37"/>
      <c r="T67" s="72"/>
      <c r="U67" s="39"/>
      <c r="V67" s="72"/>
      <c r="W67" s="39"/>
      <c r="X67" s="72"/>
      <c r="Y67" s="37"/>
      <c r="Z67" s="72"/>
      <c r="AA67" s="37"/>
      <c r="AB67" s="72"/>
      <c r="AC67" s="39"/>
      <c r="AD67" s="72"/>
      <c r="AE67" s="39"/>
      <c r="AF67" s="72"/>
      <c r="AG67" s="37"/>
      <c r="AH67" s="72"/>
      <c r="AI67" s="39"/>
      <c r="AJ67" s="72"/>
      <c r="AK67" s="39"/>
      <c r="AL67" s="72"/>
      <c r="AM67" s="39"/>
      <c r="AN67" s="72"/>
      <c r="AO67" s="39"/>
    </row>
    <row r="68" spans="1:41" x14ac:dyDescent="0.2">
      <c r="A68" s="47" t="s">
        <v>133</v>
      </c>
      <c r="B68" s="47" t="s">
        <v>134</v>
      </c>
      <c r="C68" s="51">
        <f t="shared" si="2"/>
        <v>12</v>
      </c>
      <c r="D68" s="72">
        <v>1</v>
      </c>
      <c r="E68" s="36"/>
      <c r="F68" s="72">
        <v>1</v>
      </c>
      <c r="G68" s="36"/>
      <c r="H68" s="72">
        <v>2</v>
      </c>
      <c r="I68" s="36" t="s">
        <v>222</v>
      </c>
      <c r="J68" s="72">
        <v>2</v>
      </c>
      <c r="K68" s="36" t="s">
        <v>222</v>
      </c>
      <c r="L68" s="72">
        <v>2</v>
      </c>
      <c r="M68" s="36" t="s">
        <v>222</v>
      </c>
      <c r="N68" s="72">
        <v>2</v>
      </c>
      <c r="O68" s="36" t="s">
        <v>222</v>
      </c>
      <c r="P68" s="72">
        <v>1</v>
      </c>
      <c r="Q68" s="37"/>
      <c r="R68" s="72">
        <v>1</v>
      </c>
      <c r="S68" s="37"/>
      <c r="T68" s="72"/>
      <c r="U68" s="39"/>
      <c r="V68" s="72"/>
      <c r="W68" s="39"/>
      <c r="X68" s="72"/>
      <c r="Y68" s="37"/>
      <c r="Z68" s="72"/>
      <c r="AA68" s="37"/>
      <c r="AB68" s="72"/>
      <c r="AC68" s="39"/>
      <c r="AD68" s="72"/>
      <c r="AE68" s="39"/>
      <c r="AF68" s="72"/>
      <c r="AG68" s="37"/>
      <c r="AH68" s="72"/>
      <c r="AI68" s="39"/>
      <c r="AJ68" s="72"/>
      <c r="AK68" s="39"/>
      <c r="AL68" s="72"/>
      <c r="AM68" s="39"/>
      <c r="AN68" s="72"/>
      <c r="AO68" s="39"/>
    </row>
    <row r="69" spans="1:41" x14ac:dyDescent="0.2">
      <c r="A69" s="47" t="s">
        <v>135</v>
      </c>
      <c r="B69" s="47" t="s">
        <v>136</v>
      </c>
      <c r="C69" s="51">
        <f t="shared" si="2"/>
        <v>1</v>
      </c>
      <c r="D69" s="98"/>
      <c r="E69" s="99"/>
      <c r="F69" s="98"/>
      <c r="G69" s="99"/>
      <c r="H69" s="98"/>
      <c r="I69" s="99"/>
      <c r="J69" s="98"/>
      <c r="K69" s="100"/>
      <c r="L69" s="98"/>
      <c r="M69" s="99"/>
      <c r="N69" s="98"/>
      <c r="O69" s="99"/>
      <c r="P69" s="98"/>
      <c r="Q69" s="101"/>
      <c r="R69" s="72">
        <v>1</v>
      </c>
      <c r="S69" s="37"/>
      <c r="T69" s="72"/>
      <c r="U69" s="39"/>
      <c r="V69" s="72"/>
      <c r="W69" s="39"/>
      <c r="X69" s="72"/>
      <c r="Y69" s="37"/>
      <c r="Z69" s="72"/>
      <c r="AA69" s="37"/>
      <c r="AB69" s="72"/>
      <c r="AC69" s="39"/>
      <c r="AD69" s="72"/>
      <c r="AE69" s="39"/>
      <c r="AF69" s="72"/>
      <c r="AG69" s="37"/>
      <c r="AH69" s="72"/>
      <c r="AI69" s="39"/>
      <c r="AJ69" s="72"/>
      <c r="AK69" s="39"/>
      <c r="AL69" s="72"/>
      <c r="AM69" s="39"/>
      <c r="AN69" s="72"/>
      <c r="AO69" s="39"/>
    </row>
    <row r="70" spans="1:41" x14ac:dyDescent="0.2">
      <c r="A70" s="47" t="s">
        <v>137</v>
      </c>
      <c r="B70" s="47" t="s">
        <v>182</v>
      </c>
      <c r="C70" s="51">
        <f t="shared" si="2"/>
        <v>1</v>
      </c>
      <c r="D70" s="98"/>
      <c r="E70" s="99"/>
      <c r="F70" s="98"/>
      <c r="G70" s="99"/>
      <c r="H70" s="98"/>
      <c r="I70" s="99"/>
      <c r="J70" s="98"/>
      <c r="K70" s="100"/>
      <c r="L70" s="98"/>
      <c r="M70" s="99"/>
      <c r="N70" s="98"/>
      <c r="O70" s="99"/>
      <c r="P70" s="98"/>
      <c r="Q70" s="101"/>
      <c r="R70" s="72">
        <v>1</v>
      </c>
      <c r="S70" s="37"/>
      <c r="T70" s="72"/>
      <c r="U70" s="39"/>
      <c r="V70" s="72"/>
      <c r="W70" s="39"/>
      <c r="X70" s="72"/>
      <c r="Y70" s="37"/>
      <c r="Z70" s="72"/>
      <c r="AA70" s="37"/>
      <c r="AB70" s="72"/>
      <c r="AC70" s="39"/>
      <c r="AD70" s="72"/>
      <c r="AE70" s="39"/>
      <c r="AF70" s="72"/>
      <c r="AG70" s="37"/>
      <c r="AH70" s="72"/>
      <c r="AI70" s="39"/>
      <c r="AJ70" s="72"/>
      <c r="AK70" s="39"/>
      <c r="AL70" s="72"/>
      <c r="AM70" s="39"/>
      <c r="AN70" s="72"/>
      <c r="AO70" s="39"/>
    </row>
    <row r="71" spans="1:41" x14ac:dyDescent="0.2">
      <c r="A71" s="47" t="s">
        <v>138</v>
      </c>
      <c r="B71" s="47" t="s">
        <v>139</v>
      </c>
      <c r="C71" s="51">
        <f t="shared" si="2"/>
        <v>6</v>
      </c>
      <c r="D71" s="98"/>
      <c r="E71" s="99"/>
      <c r="F71" s="98"/>
      <c r="G71" s="99"/>
      <c r="H71" s="98"/>
      <c r="I71" s="99"/>
      <c r="J71" s="72">
        <v>1</v>
      </c>
      <c r="K71" s="43"/>
      <c r="L71" s="72">
        <v>1</v>
      </c>
      <c r="M71" s="36"/>
      <c r="N71" s="72">
        <v>1</v>
      </c>
      <c r="O71" s="36"/>
      <c r="P71" s="72">
        <v>1</v>
      </c>
      <c r="Q71" s="37"/>
      <c r="R71" s="72">
        <v>2</v>
      </c>
      <c r="S71" s="37" t="s">
        <v>347</v>
      </c>
      <c r="T71" s="72"/>
      <c r="U71" s="39"/>
      <c r="V71" s="72"/>
      <c r="W71" s="39"/>
      <c r="X71" s="72"/>
      <c r="Y71" s="37"/>
      <c r="Z71" s="72"/>
      <c r="AA71" s="37"/>
      <c r="AB71" s="72"/>
      <c r="AC71" s="39"/>
      <c r="AD71" s="72"/>
      <c r="AE71" s="39"/>
      <c r="AF71" s="72"/>
      <c r="AG71" s="37"/>
      <c r="AH71" s="72"/>
      <c r="AI71" s="39"/>
      <c r="AJ71" s="72"/>
      <c r="AK71" s="39"/>
      <c r="AL71" s="72"/>
      <c r="AM71" s="39"/>
      <c r="AN71" s="72"/>
      <c r="AO71" s="39"/>
    </row>
    <row r="72" spans="1:41" x14ac:dyDescent="0.2">
      <c r="A72" s="47" t="s">
        <v>140</v>
      </c>
      <c r="B72" s="47" t="s">
        <v>141</v>
      </c>
      <c r="C72" s="51">
        <f t="shared" si="2"/>
        <v>18</v>
      </c>
      <c r="D72" s="72">
        <v>1</v>
      </c>
      <c r="E72" s="36"/>
      <c r="F72" s="72">
        <v>4</v>
      </c>
      <c r="G72" s="36" t="s">
        <v>255</v>
      </c>
      <c r="H72" s="72">
        <v>4</v>
      </c>
      <c r="I72" s="36" t="s">
        <v>255</v>
      </c>
      <c r="J72" s="72">
        <v>2</v>
      </c>
      <c r="K72" s="43" t="s">
        <v>227</v>
      </c>
      <c r="L72" s="72">
        <v>2</v>
      </c>
      <c r="M72" s="43" t="s">
        <v>227</v>
      </c>
      <c r="N72" s="72">
        <v>2</v>
      </c>
      <c r="O72" s="43" t="s">
        <v>227</v>
      </c>
      <c r="P72" s="72">
        <v>2</v>
      </c>
      <c r="Q72" s="43" t="s">
        <v>227</v>
      </c>
      <c r="R72" s="72">
        <v>1</v>
      </c>
      <c r="S72" s="37"/>
      <c r="T72" s="72"/>
      <c r="U72" s="39"/>
      <c r="V72" s="72"/>
      <c r="W72" s="39"/>
      <c r="X72" s="72"/>
      <c r="Y72" s="37"/>
      <c r="Z72" s="72"/>
      <c r="AA72" s="37"/>
      <c r="AB72" s="72"/>
      <c r="AC72" s="39"/>
      <c r="AD72" s="72"/>
      <c r="AE72" s="39"/>
      <c r="AF72" s="72"/>
      <c r="AG72" s="37"/>
      <c r="AH72" s="72"/>
      <c r="AI72" s="39"/>
      <c r="AJ72" s="72"/>
      <c r="AK72" s="39"/>
      <c r="AL72" s="72"/>
      <c r="AM72" s="39"/>
      <c r="AN72" s="72"/>
      <c r="AO72" s="39"/>
    </row>
    <row r="73" spans="1:41" x14ac:dyDescent="0.2">
      <c r="A73" s="47" t="s">
        <v>144</v>
      </c>
      <c r="B73" s="47" t="s">
        <v>58</v>
      </c>
      <c r="C73" s="51">
        <f t="shared" si="2"/>
        <v>1</v>
      </c>
      <c r="D73" s="98"/>
      <c r="E73" s="99"/>
      <c r="F73" s="98"/>
      <c r="G73" s="99"/>
      <c r="H73" s="98"/>
      <c r="I73" s="99"/>
      <c r="J73" s="98"/>
      <c r="K73" s="100"/>
      <c r="L73" s="98"/>
      <c r="M73" s="99"/>
      <c r="N73" s="98"/>
      <c r="O73" s="99"/>
      <c r="P73" s="98"/>
      <c r="Q73" s="101"/>
      <c r="R73" s="72">
        <v>1</v>
      </c>
      <c r="S73" s="37"/>
      <c r="T73" s="72"/>
      <c r="U73" s="39"/>
      <c r="V73" s="72"/>
      <c r="W73" s="39"/>
      <c r="X73" s="72"/>
      <c r="Y73" s="37"/>
      <c r="Z73" s="72"/>
      <c r="AA73" s="37"/>
      <c r="AB73" s="72"/>
      <c r="AC73" s="39"/>
      <c r="AD73" s="72"/>
      <c r="AE73" s="39"/>
      <c r="AF73" s="72"/>
      <c r="AG73" s="37"/>
      <c r="AH73" s="72"/>
      <c r="AI73" s="39"/>
      <c r="AJ73" s="72"/>
      <c r="AK73" s="39"/>
      <c r="AL73" s="72"/>
      <c r="AM73" s="39"/>
      <c r="AN73" s="72"/>
      <c r="AO73" s="39"/>
    </row>
    <row r="74" spans="1:41" x14ac:dyDescent="0.2">
      <c r="A74" s="47" t="s">
        <v>147</v>
      </c>
      <c r="B74" s="47" t="s">
        <v>148</v>
      </c>
      <c r="C74" s="51">
        <f t="shared" si="2"/>
        <v>5</v>
      </c>
      <c r="D74" s="98"/>
      <c r="E74" s="99"/>
      <c r="F74" s="98"/>
      <c r="G74" s="99"/>
      <c r="H74" s="98"/>
      <c r="I74" s="99"/>
      <c r="J74" s="72">
        <v>1</v>
      </c>
      <c r="K74" s="43"/>
      <c r="L74" s="72">
        <v>1</v>
      </c>
      <c r="M74" s="36"/>
      <c r="N74" s="72">
        <v>1</v>
      </c>
      <c r="O74" s="36"/>
      <c r="P74" s="72">
        <v>1</v>
      </c>
      <c r="Q74" s="37"/>
      <c r="R74" s="72">
        <v>1</v>
      </c>
      <c r="S74" s="37"/>
      <c r="T74" s="72"/>
      <c r="U74" s="39"/>
      <c r="V74" s="72"/>
      <c r="W74" s="39"/>
      <c r="X74" s="72"/>
      <c r="Y74" s="37"/>
      <c r="Z74" s="72"/>
      <c r="AA74" s="37"/>
      <c r="AB74" s="72"/>
      <c r="AC74" s="39"/>
      <c r="AD74" s="72"/>
      <c r="AE74" s="39"/>
      <c r="AF74" s="72"/>
      <c r="AG74" s="37"/>
      <c r="AH74" s="72"/>
      <c r="AI74" s="39"/>
      <c r="AJ74" s="72"/>
      <c r="AK74" s="39"/>
      <c r="AL74" s="72"/>
      <c r="AM74" s="39"/>
      <c r="AN74" s="72"/>
      <c r="AO74" s="39"/>
    </row>
    <row r="75" spans="1:41" x14ac:dyDescent="0.2">
      <c r="A75" s="47" t="s">
        <v>149</v>
      </c>
      <c r="B75" s="47" t="s">
        <v>18</v>
      </c>
      <c r="C75" s="51">
        <f t="shared" si="2"/>
        <v>12</v>
      </c>
      <c r="D75" s="72">
        <v>2</v>
      </c>
      <c r="E75" s="36" t="s">
        <v>337</v>
      </c>
      <c r="F75" s="72">
        <v>2</v>
      </c>
      <c r="G75" s="36" t="s">
        <v>337</v>
      </c>
      <c r="H75" s="72">
        <v>1</v>
      </c>
      <c r="I75" s="36"/>
      <c r="J75" s="72">
        <v>1</v>
      </c>
      <c r="K75" s="43"/>
      <c r="L75" s="72">
        <v>1</v>
      </c>
      <c r="M75" s="36"/>
      <c r="N75" s="72">
        <v>1</v>
      </c>
      <c r="O75" s="36"/>
      <c r="P75" s="72">
        <v>2</v>
      </c>
      <c r="Q75" s="37" t="s">
        <v>222</v>
      </c>
      <c r="R75" s="72">
        <v>2</v>
      </c>
      <c r="S75" s="37" t="s">
        <v>222</v>
      </c>
      <c r="T75" s="72"/>
      <c r="U75" s="39"/>
      <c r="V75" s="72"/>
      <c r="W75" s="39"/>
      <c r="X75" s="72"/>
      <c r="Y75" s="37"/>
      <c r="Z75" s="72"/>
      <c r="AA75" s="37"/>
      <c r="AB75" s="72"/>
      <c r="AC75" s="39"/>
      <c r="AD75" s="72"/>
      <c r="AE75" s="39"/>
      <c r="AF75" s="72"/>
      <c r="AG75" s="37"/>
      <c r="AH75" s="72"/>
      <c r="AI75" s="39"/>
      <c r="AJ75" s="72"/>
      <c r="AK75" s="39"/>
      <c r="AL75" s="72"/>
      <c r="AM75" s="39"/>
      <c r="AN75" s="72"/>
      <c r="AO75" s="39"/>
    </row>
    <row r="76" spans="1:41" x14ac:dyDescent="0.2">
      <c r="A76" s="47" t="s">
        <v>150</v>
      </c>
      <c r="B76" s="47" t="s">
        <v>35</v>
      </c>
      <c r="C76" s="51">
        <f t="shared" si="2"/>
        <v>3</v>
      </c>
      <c r="D76" s="98"/>
      <c r="E76" s="99"/>
      <c r="F76" s="98"/>
      <c r="G76" s="99"/>
      <c r="H76" s="98"/>
      <c r="I76" s="99"/>
      <c r="J76" s="98"/>
      <c r="K76" s="100"/>
      <c r="L76" s="98"/>
      <c r="M76" s="99"/>
      <c r="N76" s="72">
        <v>1</v>
      </c>
      <c r="O76" s="36"/>
      <c r="P76" s="72">
        <v>1</v>
      </c>
      <c r="Q76" s="37"/>
      <c r="R76" s="72">
        <v>1</v>
      </c>
      <c r="S76" s="37"/>
      <c r="T76" s="72"/>
      <c r="U76" s="39"/>
      <c r="V76" s="72"/>
      <c r="W76" s="39"/>
      <c r="X76" s="72"/>
      <c r="Y76" s="37"/>
      <c r="Z76" s="72"/>
      <c r="AA76" s="37"/>
      <c r="AB76" s="72"/>
      <c r="AC76" s="39"/>
      <c r="AD76" s="72"/>
      <c r="AE76" s="39"/>
      <c r="AF76" s="72"/>
      <c r="AG76" s="37"/>
      <c r="AH76" s="72"/>
      <c r="AI76" s="39"/>
      <c r="AJ76" s="72"/>
      <c r="AK76" s="39"/>
      <c r="AL76" s="72"/>
      <c r="AM76" s="39"/>
      <c r="AN76" s="72"/>
      <c r="AO76" s="39"/>
    </row>
    <row r="77" spans="1:41" x14ac:dyDescent="0.2">
      <c r="A77" s="47" t="s">
        <v>151</v>
      </c>
      <c r="B77" s="47" t="s">
        <v>82</v>
      </c>
      <c r="C77" s="51">
        <f t="shared" si="2"/>
        <v>7</v>
      </c>
      <c r="D77" s="98"/>
      <c r="E77" s="99"/>
      <c r="F77" s="98"/>
      <c r="G77" s="99"/>
      <c r="H77" s="72">
        <v>2</v>
      </c>
      <c r="I77" s="36" t="s">
        <v>284</v>
      </c>
      <c r="J77" s="72">
        <v>1</v>
      </c>
      <c r="K77" s="43"/>
      <c r="L77" s="72">
        <v>1</v>
      </c>
      <c r="M77" s="36"/>
      <c r="N77" s="72">
        <v>1</v>
      </c>
      <c r="O77" s="36"/>
      <c r="P77" s="72">
        <v>1</v>
      </c>
      <c r="Q77" s="37"/>
      <c r="R77" s="72">
        <v>1</v>
      </c>
      <c r="S77" s="37"/>
      <c r="T77" s="72"/>
      <c r="U77" s="39"/>
      <c r="V77" s="72"/>
      <c r="W77" s="39"/>
      <c r="X77" s="72"/>
      <c r="Y77" s="37"/>
      <c r="Z77" s="72"/>
      <c r="AA77" s="37"/>
      <c r="AB77" s="72"/>
      <c r="AC77" s="39"/>
      <c r="AD77" s="72"/>
      <c r="AE77" s="39"/>
      <c r="AF77" s="72"/>
      <c r="AG77" s="37"/>
      <c r="AH77" s="72"/>
      <c r="AI77" s="39"/>
      <c r="AJ77" s="72"/>
      <c r="AK77" s="39"/>
      <c r="AL77" s="72"/>
      <c r="AM77" s="39"/>
      <c r="AN77" s="72"/>
      <c r="AO77" s="39"/>
    </row>
    <row r="78" spans="1:41" x14ac:dyDescent="0.2">
      <c r="A78" s="47" t="s">
        <v>152</v>
      </c>
      <c r="B78" s="47" t="s">
        <v>183</v>
      </c>
      <c r="C78" s="51">
        <f t="shared" si="2"/>
        <v>2</v>
      </c>
      <c r="D78" s="98"/>
      <c r="E78" s="99"/>
      <c r="F78" s="98"/>
      <c r="G78" s="99"/>
      <c r="H78" s="98"/>
      <c r="I78" s="99"/>
      <c r="J78" s="98"/>
      <c r="K78" s="100"/>
      <c r="L78" s="98"/>
      <c r="M78" s="99"/>
      <c r="N78" s="98"/>
      <c r="O78" s="99"/>
      <c r="P78" s="72">
        <v>1</v>
      </c>
      <c r="Q78" s="37"/>
      <c r="R78" s="72">
        <v>1</v>
      </c>
      <c r="S78" s="37"/>
      <c r="T78" s="72"/>
      <c r="U78" s="39"/>
      <c r="V78" s="72"/>
      <c r="W78" s="39"/>
      <c r="X78" s="72"/>
      <c r="Y78" s="37"/>
      <c r="Z78" s="72"/>
      <c r="AA78" s="37"/>
      <c r="AB78" s="72"/>
      <c r="AC78" s="39"/>
      <c r="AD78" s="72"/>
      <c r="AE78" s="39"/>
      <c r="AF78" s="72"/>
      <c r="AG78" s="37"/>
      <c r="AH78" s="72"/>
      <c r="AI78" s="39"/>
      <c r="AJ78" s="72"/>
      <c r="AK78" s="39"/>
      <c r="AL78" s="72"/>
      <c r="AM78" s="39"/>
      <c r="AN78" s="72"/>
      <c r="AO78" s="39"/>
    </row>
    <row r="79" spans="1:41" x14ac:dyDescent="0.2">
      <c r="A79" s="47" t="s">
        <v>153</v>
      </c>
      <c r="B79" s="47" t="s">
        <v>154</v>
      </c>
      <c r="C79" s="51">
        <f t="shared" si="2"/>
        <v>5</v>
      </c>
      <c r="D79" s="98"/>
      <c r="E79" s="99"/>
      <c r="F79" s="98"/>
      <c r="G79" s="99"/>
      <c r="H79" s="98"/>
      <c r="I79" s="99"/>
      <c r="J79" s="72">
        <v>1</v>
      </c>
      <c r="K79" s="43"/>
      <c r="L79" s="72">
        <v>1</v>
      </c>
      <c r="M79" s="36"/>
      <c r="N79" s="72">
        <v>1</v>
      </c>
      <c r="O79" s="36"/>
      <c r="P79" s="72">
        <v>1</v>
      </c>
      <c r="Q79" s="37"/>
      <c r="R79" s="72">
        <v>1</v>
      </c>
      <c r="S79" s="37"/>
      <c r="T79" s="72"/>
      <c r="U79" s="39"/>
      <c r="V79" s="72"/>
      <c r="W79" s="39"/>
      <c r="X79" s="72"/>
      <c r="Y79" s="37"/>
      <c r="Z79" s="72"/>
      <c r="AA79" s="37"/>
      <c r="AB79" s="72"/>
      <c r="AC79" s="39"/>
      <c r="AD79" s="72"/>
      <c r="AE79" s="39"/>
      <c r="AF79" s="72"/>
      <c r="AG79" s="37"/>
      <c r="AH79" s="72"/>
      <c r="AI79" s="39"/>
      <c r="AJ79" s="72"/>
      <c r="AK79" s="39"/>
      <c r="AL79" s="72"/>
      <c r="AM79" s="39"/>
      <c r="AN79" s="72"/>
      <c r="AO79" s="39"/>
    </row>
    <row r="80" spans="1:41" x14ac:dyDescent="0.2">
      <c r="A80" s="47" t="s">
        <v>156</v>
      </c>
      <c r="B80" s="47" t="s">
        <v>114</v>
      </c>
      <c r="C80" s="51">
        <f t="shared" si="2"/>
        <v>8</v>
      </c>
      <c r="D80" s="72">
        <v>1</v>
      </c>
      <c r="E80" s="36"/>
      <c r="F80" s="72">
        <v>1</v>
      </c>
      <c r="G80" s="36"/>
      <c r="H80" s="72">
        <v>1</v>
      </c>
      <c r="I80" s="36"/>
      <c r="J80" s="72">
        <v>1</v>
      </c>
      <c r="K80" s="43"/>
      <c r="L80" s="72">
        <v>1</v>
      </c>
      <c r="M80" s="36"/>
      <c r="N80" s="72">
        <v>1</v>
      </c>
      <c r="O80" s="36"/>
      <c r="P80" s="72">
        <v>1</v>
      </c>
      <c r="Q80" s="37"/>
      <c r="R80" s="72">
        <v>1</v>
      </c>
      <c r="S80" s="37"/>
      <c r="T80" s="72"/>
      <c r="U80" s="39"/>
      <c r="V80" s="72"/>
      <c r="W80" s="39"/>
      <c r="X80" s="72"/>
      <c r="Y80" s="37"/>
      <c r="Z80" s="72"/>
      <c r="AA80" s="37"/>
      <c r="AB80" s="72"/>
      <c r="AC80" s="39"/>
      <c r="AD80" s="72"/>
      <c r="AE80" s="39"/>
      <c r="AF80" s="72"/>
      <c r="AG80" s="37"/>
      <c r="AH80" s="72"/>
      <c r="AI80" s="39"/>
      <c r="AJ80" s="72"/>
      <c r="AK80" s="39"/>
      <c r="AL80" s="72"/>
      <c r="AM80" s="39"/>
      <c r="AN80" s="72"/>
      <c r="AO80" s="39"/>
    </row>
    <row r="81" spans="1:47" x14ac:dyDescent="0.2">
      <c r="A81" s="47" t="s">
        <v>157</v>
      </c>
      <c r="B81" s="47" t="s">
        <v>58</v>
      </c>
      <c r="C81" s="51">
        <f t="shared" si="2"/>
        <v>8</v>
      </c>
      <c r="D81" s="72">
        <v>1</v>
      </c>
      <c r="E81" s="36"/>
      <c r="F81" s="72">
        <v>1</v>
      </c>
      <c r="G81" s="36"/>
      <c r="H81" s="72">
        <v>1</v>
      </c>
      <c r="I81" s="36"/>
      <c r="J81" s="72">
        <v>1</v>
      </c>
      <c r="K81" s="43"/>
      <c r="L81" s="72">
        <v>1</v>
      </c>
      <c r="M81" s="36"/>
      <c r="N81" s="72">
        <v>1</v>
      </c>
      <c r="O81" s="36"/>
      <c r="P81" s="72">
        <v>1</v>
      </c>
      <c r="Q81" s="37"/>
      <c r="R81" s="72">
        <v>1</v>
      </c>
      <c r="S81" s="37"/>
      <c r="T81" s="72"/>
      <c r="U81" s="39"/>
      <c r="V81" s="72"/>
      <c r="W81" s="39"/>
      <c r="X81" s="72"/>
      <c r="Y81" s="37"/>
      <c r="Z81" s="72"/>
      <c r="AA81" s="37"/>
      <c r="AB81" s="72"/>
      <c r="AC81" s="39"/>
      <c r="AD81" s="72"/>
      <c r="AE81" s="39"/>
      <c r="AF81" s="72"/>
      <c r="AG81" s="37"/>
      <c r="AH81" s="72"/>
      <c r="AI81" s="39"/>
      <c r="AJ81" s="72"/>
      <c r="AK81" s="39"/>
      <c r="AL81" s="72"/>
      <c r="AM81" s="39"/>
      <c r="AN81" s="72"/>
      <c r="AO81" s="39"/>
    </row>
    <row r="82" spans="1:47" x14ac:dyDescent="0.2">
      <c r="A82" s="47" t="s">
        <v>159</v>
      </c>
      <c r="B82" s="47" t="s">
        <v>7</v>
      </c>
      <c r="C82" s="51">
        <f t="shared" si="2"/>
        <v>5</v>
      </c>
      <c r="D82" s="98"/>
      <c r="E82" s="99"/>
      <c r="F82" s="98"/>
      <c r="G82" s="99"/>
      <c r="H82" s="98"/>
      <c r="I82" s="99"/>
      <c r="J82" s="72">
        <v>1</v>
      </c>
      <c r="K82" s="43"/>
      <c r="L82" s="72">
        <v>1</v>
      </c>
      <c r="M82" s="36"/>
      <c r="N82" s="72">
        <v>1</v>
      </c>
      <c r="O82" s="36"/>
      <c r="P82" s="72">
        <v>1</v>
      </c>
      <c r="Q82" s="37"/>
      <c r="R82" s="72">
        <v>1</v>
      </c>
      <c r="S82" s="37"/>
      <c r="T82" s="72"/>
      <c r="U82" s="39"/>
      <c r="V82" s="72"/>
      <c r="W82" s="39"/>
      <c r="X82" s="72"/>
      <c r="Y82" s="37"/>
      <c r="Z82" s="72"/>
      <c r="AA82" s="37"/>
      <c r="AB82" s="72"/>
      <c r="AC82" s="39"/>
      <c r="AD82" s="72"/>
      <c r="AE82" s="39"/>
      <c r="AF82" s="72"/>
      <c r="AG82" s="37"/>
      <c r="AH82" s="72"/>
      <c r="AI82" s="39"/>
      <c r="AJ82" s="72"/>
      <c r="AK82" s="39"/>
      <c r="AL82" s="72"/>
      <c r="AM82" s="39"/>
      <c r="AN82" s="72"/>
      <c r="AO82" s="39"/>
    </row>
    <row r="83" spans="1:47" x14ac:dyDescent="0.2">
      <c r="A83" s="47" t="s">
        <v>160</v>
      </c>
      <c r="B83" s="47" t="s">
        <v>161</v>
      </c>
      <c r="C83" s="51">
        <f t="shared" si="2"/>
        <v>6</v>
      </c>
      <c r="D83" s="98"/>
      <c r="E83" s="99"/>
      <c r="F83" s="98"/>
      <c r="G83" s="99"/>
      <c r="H83" s="72">
        <v>1</v>
      </c>
      <c r="I83" s="36"/>
      <c r="J83" s="72">
        <v>1</v>
      </c>
      <c r="K83" s="43"/>
      <c r="L83" s="72">
        <v>1</v>
      </c>
      <c r="M83" s="36"/>
      <c r="N83" s="72">
        <v>1</v>
      </c>
      <c r="O83" s="36"/>
      <c r="P83" s="72">
        <v>1</v>
      </c>
      <c r="Q83" s="37"/>
      <c r="R83" s="72">
        <v>1</v>
      </c>
      <c r="S83" s="37"/>
      <c r="T83" s="72"/>
      <c r="U83" s="39"/>
      <c r="V83" s="72"/>
      <c r="W83" s="39"/>
      <c r="X83" s="72"/>
      <c r="Y83" s="37"/>
      <c r="Z83" s="72"/>
      <c r="AA83" s="37"/>
      <c r="AB83" s="72"/>
      <c r="AC83" s="39"/>
      <c r="AD83" s="72"/>
      <c r="AE83" s="39"/>
      <c r="AF83" s="72"/>
      <c r="AG83" s="37"/>
      <c r="AH83" s="72"/>
      <c r="AI83" s="39"/>
      <c r="AJ83" s="72"/>
      <c r="AK83" s="39"/>
      <c r="AL83" s="72"/>
      <c r="AM83" s="39"/>
      <c r="AN83" s="72"/>
      <c r="AO83" s="39"/>
    </row>
    <row r="84" spans="1:47" x14ac:dyDescent="0.2">
      <c r="A84" s="47" t="s">
        <v>162</v>
      </c>
      <c r="B84" s="47" t="s">
        <v>76</v>
      </c>
      <c r="C84" s="51">
        <f t="shared" si="2"/>
        <v>18</v>
      </c>
      <c r="D84" s="72">
        <v>1</v>
      </c>
      <c r="E84" s="36"/>
      <c r="F84" s="72">
        <v>2</v>
      </c>
      <c r="G84" s="36" t="s">
        <v>349</v>
      </c>
      <c r="H84" s="72">
        <v>2</v>
      </c>
      <c r="I84" s="36" t="s">
        <v>349</v>
      </c>
      <c r="J84" s="72">
        <v>4</v>
      </c>
      <c r="K84" s="43" t="s">
        <v>255</v>
      </c>
      <c r="L84" s="72">
        <v>4</v>
      </c>
      <c r="M84" s="36" t="s">
        <v>255</v>
      </c>
      <c r="N84" s="72">
        <v>1</v>
      </c>
      <c r="O84" s="36"/>
      <c r="P84" s="72">
        <v>2</v>
      </c>
      <c r="Q84" s="37" t="s">
        <v>222</v>
      </c>
      <c r="R84" s="72">
        <v>2</v>
      </c>
      <c r="S84" s="37" t="s">
        <v>222</v>
      </c>
      <c r="T84" s="72"/>
      <c r="U84" s="39"/>
      <c r="V84" s="72"/>
      <c r="W84" s="39"/>
      <c r="X84" s="72"/>
      <c r="Y84" s="37"/>
      <c r="Z84" s="72"/>
      <c r="AA84" s="37"/>
      <c r="AB84" s="72"/>
      <c r="AC84" s="39"/>
      <c r="AD84" s="72"/>
      <c r="AE84" s="39"/>
      <c r="AF84" s="72"/>
      <c r="AG84" s="37"/>
      <c r="AH84" s="72"/>
      <c r="AI84" s="39"/>
      <c r="AJ84" s="72"/>
      <c r="AK84" s="39"/>
      <c r="AL84" s="72"/>
      <c r="AM84" s="39"/>
      <c r="AN84" s="72"/>
      <c r="AO84" s="39"/>
    </row>
    <row r="85" spans="1:47" x14ac:dyDescent="0.2">
      <c r="A85" s="47" t="s">
        <v>163</v>
      </c>
      <c r="B85" s="47" t="s">
        <v>158</v>
      </c>
      <c r="C85" s="51">
        <f t="shared" si="2"/>
        <v>3</v>
      </c>
      <c r="D85" s="98"/>
      <c r="E85" s="99"/>
      <c r="F85" s="98"/>
      <c r="G85" s="99"/>
      <c r="H85" s="98"/>
      <c r="I85" s="99"/>
      <c r="J85" s="98"/>
      <c r="K85" s="100"/>
      <c r="L85" s="98"/>
      <c r="M85" s="99"/>
      <c r="N85" s="72">
        <v>1</v>
      </c>
      <c r="O85" s="36"/>
      <c r="P85" s="72">
        <v>1</v>
      </c>
      <c r="Q85" s="37"/>
      <c r="R85" s="72">
        <v>1</v>
      </c>
      <c r="S85" s="37"/>
      <c r="T85" s="72"/>
      <c r="U85" s="39"/>
      <c r="V85" s="72"/>
      <c r="W85" s="39"/>
      <c r="X85" s="72"/>
      <c r="Y85" s="37"/>
      <c r="Z85" s="72"/>
      <c r="AA85" s="37"/>
      <c r="AB85" s="72"/>
      <c r="AC85" s="39"/>
      <c r="AD85" s="72"/>
      <c r="AE85" s="39"/>
      <c r="AF85" s="72"/>
      <c r="AG85" s="37"/>
      <c r="AH85" s="72"/>
      <c r="AI85" s="39"/>
      <c r="AJ85" s="72"/>
      <c r="AK85" s="39"/>
      <c r="AL85" s="72"/>
      <c r="AM85" s="39"/>
      <c r="AN85" s="72"/>
      <c r="AO85" s="39"/>
    </row>
    <row r="86" spans="1:47" x14ac:dyDescent="0.2">
      <c r="A86" s="47" t="s">
        <v>164</v>
      </c>
      <c r="B86" s="47" t="s">
        <v>165</v>
      </c>
      <c r="C86" s="51">
        <f t="shared" si="2"/>
        <v>4</v>
      </c>
      <c r="D86" s="98"/>
      <c r="E86" s="99"/>
      <c r="F86" s="98"/>
      <c r="G86" s="99"/>
      <c r="H86" s="98"/>
      <c r="I86" s="99"/>
      <c r="J86" s="98"/>
      <c r="K86" s="100"/>
      <c r="L86" s="72">
        <v>1</v>
      </c>
      <c r="M86" s="36"/>
      <c r="N86" s="72">
        <v>1</v>
      </c>
      <c r="O86" s="36"/>
      <c r="P86" s="72">
        <v>1</v>
      </c>
      <c r="Q86" s="37"/>
      <c r="R86" s="72">
        <v>1</v>
      </c>
      <c r="S86" s="37"/>
      <c r="T86" s="72"/>
      <c r="U86" s="39"/>
      <c r="V86" s="72"/>
      <c r="W86" s="39"/>
      <c r="X86" s="72"/>
      <c r="Y86" s="37"/>
      <c r="Z86" s="72"/>
      <c r="AA86" s="37"/>
      <c r="AB86" s="72"/>
      <c r="AC86" s="39"/>
      <c r="AD86" s="72"/>
      <c r="AE86" s="39"/>
      <c r="AF86" s="72"/>
      <c r="AG86" s="37"/>
      <c r="AH86" s="72"/>
      <c r="AI86" s="39"/>
      <c r="AJ86" s="72"/>
      <c r="AK86" s="39"/>
      <c r="AL86" s="72"/>
      <c r="AM86" s="39"/>
      <c r="AN86" s="72"/>
      <c r="AO86" s="39"/>
    </row>
    <row r="87" spans="1:47" x14ac:dyDescent="0.2">
      <c r="A87" s="47" t="s">
        <v>167</v>
      </c>
      <c r="B87" s="47" t="s">
        <v>18</v>
      </c>
      <c r="C87" s="51">
        <f t="shared" si="2"/>
        <v>9</v>
      </c>
      <c r="D87" s="72">
        <v>1</v>
      </c>
      <c r="E87" s="36"/>
      <c r="F87" s="72">
        <v>1</v>
      </c>
      <c r="G87" s="36"/>
      <c r="H87" s="72">
        <v>1</v>
      </c>
      <c r="I87" s="36"/>
      <c r="J87" s="72">
        <v>1</v>
      </c>
      <c r="K87" s="43"/>
      <c r="L87" s="72">
        <v>1</v>
      </c>
      <c r="M87" s="36"/>
      <c r="N87" s="72">
        <v>2</v>
      </c>
      <c r="O87" s="36" t="s">
        <v>337</v>
      </c>
      <c r="P87" s="72">
        <v>1</v>
      </c>
      <c r="Q87" s="37"/>
      <c r="R87" s="72">
        <v>1</v>
      </c>
      <c r="S87" s="37"/>
      <c r="T87" s="72"/>
      <c r="U87" s="39"/>
      <c r="V87" s="72"/>
      <c r="W87" s="39"/>
      <c r="X87" s="72"/>
      <c r="Y87" s="37"/>
      <c r="Z87" s="72"/>
      <c r="AA87" s="37"/>
      <c r="AB87" s="72"/>
      <c r="AC87" s="39"/>
      <c r="AD87" s="72"/>
      <c r="AE87" s="39"/>
      <c r="AF87" s="72"/>
      <c r="AG87" s="37"/>
      <c r="AH87" s="72"/>
      <c r="AI87" s="39"/>
      <c r="AJ87" s="72"/>
      <c r="AK87" s="39"/>
      <c r="AL87" s="72"/>
      <c r="AM87" s="39"/>
      <c r="AN87" s="72"/>
      <c r="AO87" s="39"/>
    </row>
    <row r="88" spans="1:47" x14ac:dyDescent="0.2">
      <c r="A88" s="47" t="s">
        <v>168</v>
      </c>
      <c r="B88" s="47" t="s">
        <v>82</v>
      </c>
      <c r="C88" s="51">
        <f t="shared" si="2"/>
        <v>2</v>
      </c>
      <c r="D88" s="98"/>
      <c r="E88" s="99"/>
      <c r="F88" s="98"/>
      <c r="G88" s="99"/>
      <c r="H88" s="98"/>
      <c r="I88" s="99"/>
      <c r="J88" s="98"/>
      <c r="K88" s="100"/>
      <c r="L88" s="98"/>
      <c r="M88" s="99"/>
      <c r="N88" s="98"/>
      <c r="O88" s="99"/>
      <c r="P88" s="72">
        <v>1</v>
      </c>
      <c r="Q88" s="37"/>
      <c r="R88" s="72">
        <v>1</v>
      </c>
      <c r="S88" s="37"/>
      <c r="T88" s="72"/>
      <c r="U88" s="39"/>
      <c r="V88" s="72"/>
      <c r="W88" s="39"/>
      <c r="X88" s="72"/>
      <c r="Y88" s="37"/>
      <c r="Z88" s="72"/>
      <c r="AA88" s="37"/>
      <c r="AB88" s="72"/>
      <c r="AC88" s="39"/>
      <c r="AD88" s="72"/>
      <c r="AE88" s="39"/>
      <c r="AF88" s="72"/>
      <c r="AG88" s="37"/>
      <c r="AH88" s="72"/>
      <c r="AI88" s="39"/>
      <c r="AJ88" s="72"/>
      <c r="AK88" s="39"/>
      <c r="AL88" s="72"/>
      <c r="AM88" s="39"/>
      <c r="AN88" s="72"/>
      <c r="AO88" s="39"/>
    </row>
    <row r="89" spans="1:47" x14ac:dyDescent="0.2">
      <c r="A89" s="47" t="s">
        <v>169</v>
      </c>
      <c r="B89" s="47" t="s">
        <v>155</v>
      </c>
      <c r="C89" s="51">
        <f t="shared" si="2"/>
        <v>22</v>
      </c>
      <c r="D89" s="72">
        <v>1</v>
      </c>
      <c r="E89" s="36"/>
      <c r="F89" s="72">
        <v>2</v>
      </c>
      <c r="G89" s="36" t="s">
        <v>222</v>
      </c>
      <c r="H89" s="72">
        <v>2</v>
      </c>
      <c r="I89" s="36" t="s">
        <v>227</v>
      </c>
      <c r="J89" s="72">
        <v>4</v>
      </c>
      <c r="K89" s="43" t="s">
        <v>256</v>
      </c>
      <c r="L89" s="72">
        <v>4</v>
      </c>
      <c r="M89" s="43" t="s">
        <v>256</v>
      </c>
      <c r="N89" s="72">
        <v>6</v>
      </c>
      <c r="O89" s="36" t="s">
        <v>270</v>
      </c>
      <c r="P89" s="72">
        <v>1</v>
      </c>
      <c r="Q89" s="37" t="s">
        <v>334</v>
      </c>
      <c r="R89" s="72">
        <v>2</v>
      </c>
      <c r="S89" s="37" t="s">
        <v>331</v>
      </c>
      <c r="T89" s="72"/>
      <c r="U89" s="39"/>
      <c r="V89" s="72"/>
      <c r="W89" s="39"/>
      <c r="X89" s="72"/>
      <c r="Y89" s="37"/>
      <c r="Z89" s="72"/>
      <c r="AA89" s="37"/>
      <c r="AB89" s="72"/>
      <c r="AC89" s="39"/>
      <c r="AD89" s="72"/>
      <c r="AE89" s="39"/>
      <c r="AF89" s="72"/>
      <c r="AG89" s="37"/>
      <c r="AH89" s="72"/>
      <c r="AI89" s="39"/>
      <c r="AJ89" s="72"/>
      <c r="AK89" s="39"/>
      <c r="AL89" s="72"/>
      <c r="AM89" s="39"/>
      <c r="AN89" s="72"/>
      <c r="AO89" s="39"/>
    </row>
    <row r="90" spans="1:47" x14ac:dyDescent="0.2">
      <c r="A90" s="47" t="s">
        <v>170</v>
      </c>
      <c r="B90" s="47" t="s">
        <v>75</v>
      </c>
      <c r="C90" s="51">
        <f t="shared" si="2"/>
        <v>8</v>
      </c>
      <c r="D90" s="98"/>
      <c r="E90" s="99"/>
      <c r="F90" s="72">
        <v>1</v>
      </c>
      <c r="G90" s="36"/>
      <c r="H90" s="72">
        <v>1</v>
      </c>
      <c r="I90" s="36"/>
      <c r="J90" s="72">
        <v>1</v>
      </c>
      <c r="K90" s="43"/>
      <c r="L90" s="72">
        <v>1</v>
      </c>
      <c r="M90" s="36"/>
      <c r="N90" s="72">
        <v>1</v>
      </c>
      <c r="O90" s="36"/>
      <c r="P90" s="72">
        <v>1</v>
      </c>
      <c r="Q90" s="37"/>
      <c r="R90" s="72">
        <v>2</v>
      </c>
      <c r="S90" s="37" t="s">
        <v>348</v>
      </c>
      <c r="T90" s="72"/>
      <c r="U90" s="39"/>
      <c r="V90" s="72"/>
      <c r="W90" s="39"/>
      <c r="X90" s="72"/>
      <c r="Y90" s="37"/>
      <c r="Z90" s="72"/>
      <c r="AA90" s="37"/>
      <c r="AB90" s="72"/>
      <c r="AC90" s="39"/>
      <c r="AD90" s="72"/>
      <c r="AE90" s="39"/>
      <c r="AF90" s="72"/>
      <c r="AG90" s="37"/>
      <c r="AH90" s="72"/>
      <c r="AI90" s="39"/>
      <c r="AJ90" s="72"/>
      <c r="AK90" s="39"/>
      <c r="AL90" s="72"/>
      <c r="AM90" s="39"/>
      <c r="AN90" s="72"/>
      <c r="AO90" s="39"/>
    </row>
    <row r="91" spans="1:47" x14ac:dyDescent="0.2">
      <c r="A91" s="47" t="s">
        <v>171</v>
      </c>
      <c r="B91" s="47" t="s">
        <v>172</v>
      </c>
      <c r="C91" s="51">
        <f t="shared" si="2"/>
        <v>5</v>
      </c>
      <c r="D91" s="98"/>
      <c r="E91" s="99"/>
      <c r="F91" s="98"/>
      <c r="G91" s="99"/>
      <c r="H91" s="98"/>
      <c r="I91" s="99"/>
      <c r="J91" s="72">
        <v>1</v>
      </c>
      <c r="K91" s="43"/>
      <c r="L91" s="72">
        <v>1</v>
      </c>
      <c r="M91" s="36"/>
      <c r="N91" s="72">
        <v>1</v>
      </c>
      <c r="O91" s="36"/>
      <c r="P91" s="72">
        <v>1</v>
      </c>
      <c r="Q91" s="37"/>
      <c r="R91" s="72">
        <v>1</v>
      </c>
      <c r="S91" s="37"/>
      <c r="T91" s="72"/>
      <c r="U91" s="39"/>
      <c r="V91" s="72"/>
      <c r="W91" s="39"/>
      <c r="X91" s="72"/>
      <c r="Y91" s="37"/>
      <c r="Z91" s="72"/>
      <c r="AA91" s="37"/>
      <c r="AB91" s="72"/>
      <c r="AC91" s="39"/>
      <c r="AD91" s="72"/>
      <c r="AE91" s="39"/>
      <c r="AF91" s="72"/>
      <c r="AG91" s="37"/>
      <c r="AH91" s="72"/>
      <c r="AI91" s="39"/>
      <c r="AJ91" s="72"/>
      <c r="AK91" s="39"/>
      <c r="AL91" s="72"/>
      <c r="AM91" s="39"/>
      <c r="AN91" s="72"/>
      <c r="AO91" s="39"/>
    </row>
    <row r="92" spans="1:47" x14ac:dyDescent="0.2">
      <c r="A92" s="47" t="s">
        <v>173</v>
      </c>
      <c r="B92" s="47" t="s">
        <v>50</v>
      </c>
      <c r="C92" s="51">
        <f t="shared" si="2"/>
        <v>7</v>
      </c>
      <c r="D92" s="120"/>
      <c r="E92" s="121"/>
      <c r="F92" s="73">
        <v>1</v>
      </c>
      <c r="G92" s="46"/>
      <c r="H92" s="73">
        <v>1</v>
      </c>
      <c r="I92" s="46"/>
      <c r="J92" s="73">
        <v>1</v>
      </c>
      <c r="K92" s="74"/>
      <c r="L92" s="73">
        <v>1</v>
      </c>
      <c r="M92" s="46"/>
      <c r="N92" s="73">
        <v>1</v>
      </c>
      <c r="O92" s="36"/>
      <c r="P92" s="73">
        <v>1</v>
      </c>
      <c r="Q92" s="37"/>
      <c r="R92" s="73">
        <v>1</v>
      </c>
      <c r="S92" s="37"/>
      <c r="T92" s="73"/>
      <c r="U92" s="39"/>
      <c r="V92" s="73"/>
      <c r="W92" s="39"/>
      <c r="X92" s="73"/>
      <c r="Y92" s="37"/>
      <c r="Z92" s="73"/>
      <c r="AA92" s="37"/>
      <c r="AB92" s="73"/>
      <c r="AC92" s="39"/>
      <c r="AD92" s="73"/>
      <c r="AE92" s="39"/>
      <c r="AF92" s="73"/>
      <c r="AG92" s="37"/>
      <c r="AH92" s="73"/>
      <c r="AI92" s="39"/>
      <c r="AJ92" s="73"/>
      <c r="AK92" s="39"/>
      <c r="AL92" s="73"/>
      <c r="AM92" s="39"/>
      <c r="AN92" s="73"/>
      <c r="AO92" s="39"/>
    </row>
    <row r="93" spans="1:47" x14ac:dyDescent="0.2">
      <c r="A93" s="118" t="s">
        <v>4</v>
      </c>
      <c r="B93" s="118" t="s">
        <v>5</v>
      </c>
      <c r="C93" s="119">
        <f t="shared" ref="C93:C101" si="3">SUM(D93+F93+H93+J93+L93+N93+P93+R93+T93+V93+X93+Z93+AB93+AD93+AF93+AH93+AJ93+AL93+AN93)</f>
        <v>0</v>
      </c>
      <c r="D93" s="110"/>
      <c r="E93" s="111"/>
      <c r="F93" s="110"/>
      <c r="G93" s="111"/>
      <c r="H93" s="110"/>
      <c r="I93" s="111"/>
      <c r="J93" s="110"/>
      <c r="K93" s="112"/>
      <c r="L93" s="110"/>
      <c r="M93" s="111"/>
      <c r="N93" s="110"/>
      <c r="O93" s="111"/>
      <c r="P93" s="110"/>
      <c r="Q93" s="113"/>
      <c r="R93" s="110"/>
      <c r="S93" s="113"/>
      <c r="T93" s="72"/>
      <c r="U93" s="39"/>
      <c r="V93" s="72"/>
      <c r="W93" s="39"/>
      <c r="X93" s="72"/>
      <c r="Y93" s="37"/>
      <c r="Z93" s="72"/>
      <c r="AA93" s="37"/>
      <c r="AB93" s="72"/>
      <c r="AC93" s="39"/>
      <c r="AD93" s="72"/>
      <c r="AE93" s="39"/>
      <c r="AF93" s="72"/>
      <c r="AG93" s="37"/>
      <c r="AH93" s="72"/>
      <c r="AI93" s="39"/>
      <c r="AJ93" s="72"/>
      <c r="AK93" s="39"/>
      <c r="AL93" s="72"/>
      <c r="AM93" s="39"/>
      <c r="AN93" s="72"/>
      <c r="AO93" s="39"/>
      <c r="AU93" s="58"/>
    </row>
    <row r="94" spans="1:47" x14ac:dyDescent="0.2">
      <c r="A94" s="118" t="s">
        <v>29</v>
      </c>
      <c r="B94" s="118" t="s">
        <v>30</v>
      </c>
      <c r="C94" s="119">
        <f t="shared" si="3"/>
        <v>0</v>
      </c>
      <c r="D94" s="110"/>
      <c r="E94" s="111"/>
      <c r="F94" s="110"/>
      <c r="G94" s="111"/>
      <c r="H94" s="110"/>
      <c r="I94" s="111"/>
      <c r="J94" s="110"/>
      <c r="K94" s="112"/>
      <c r="L94" s="110"/>
      <c r="M94" s="111"/>
      <c r="N94" s="110"/>
      <c r="O94" s="111"/>
      <c r="P94" s="110"/>
      <c r="Q94" s="113"/>
      <c r="R94" s="110"/>
      <c r="S94" s="113"/>
      <c r="T94" s="72"/>
      <c r="U94" s="39"/>
      <c r="V94" s="72"/>
      <c r="W94" s="39"/>
      <c r="X94" s="72"/>
      <c r="Y94" s="37"/>
      <c r="Z94" s="72"/>
      <c r="AA94" s="37"/>
      <c r="AB94" s="72"/>
      <c r="AC94" s="39"/>
      <c r="AD94" s="72"/>
      <c r="AE94" s="39"/>
      <c r="AF94" s="72"/>
      <c r="AG94" s="37"/>
      <c r="AH94" s="72"/>
      <c r="AI94" s="39"/>
      <c r="AJ94" s="72"/>
      <c r="AK94" s="39"/>
      <c r="AL94" s="72"/>
      <c r="AM94" s="39"/>
      <c r="AN94" s="72"/>
      <c r="AO94" s="39"/>
      <c r="AU94" s="63"/>
    </row>
    <row r="95" spans="1:47" x14ac:dyDescent="0.2">
      <c r="A95" s="118" t="s">
        <v>42</v>
      </c>
      <c r="B95" s="118" t="s">
        <v>43</v>
      </c>
      <c r="C95" s="119">
        <f t="shared" si="3"/>
        <v>0</v>
      </c>
      <c r="D95" s="110"/>
      <c r="E95" s="111"/>
      <c r="F95" s="110"/>
      <c r="G95" s="111"/>
      <c r="H95" s="110"/>
      <c r="I95" s="111"/>
      <c r="J95" s="110"/>
      <c r="K95" s="112"/>
      <c r="L95" s="110"/>
      <c r="M95" s="111"/>
      <c r="N95" s="110"/>
      <c r="O95" s="111"/>
      <c r="P95" s="110"/>
      <c r="Q95" s="113"/>
      <c r="R95" s="110"/>
      <c r="S95" s="113"/>
      <c r="T95" s="72"/>
      <c r="U95" s="39"/>
      <c r="V95" s="72"/>
      <c r="W95" s="39"/>
      <c r="X95" s="72"/>
      <c r="Y95" s="37"/>
      <c r="Z95" s="72"/>
      <c r="AA95" s="37"/>
      <c r="AB95" s="72"/>
      <c r="AC95" s="39"/>
      <c r="AD95" s="72"/>
      <c r="AE95" s="39"/>
      <c r="AF95" s="72"/>
      <c r="AG95" s="37"/>
      <c r="AH95" s="72"/>
      <c r="AI95" s="39"/>
      <c r="AJ95" s="72"/>
      <c r="AK95" s="39"/>
      <c r="AL95" s="72"/>
      <c r="AM95" s="39"/>
      <c r="AN95" s="72"/>
      <c r="AO95" s="39"/>
      <c r="AU95" s="58"/>
    </row>
    <row r="96" spans="1:47" x14ac:dyDescent="0.2">
      <c r="A96" s="118" t="s">
        <v>66</v>
      </c>
      <c r="B96" s="118" t="s">
        <v>67</v>
      </c>
      <c r="C96" s="119">
        <f t="shared" si="3"/>
        <v>0</v>
      </c>
      <c r="D96" s="110"/>
      <c r="E96" s="111"/>
      <c r="F96" s="110"/>
      <c r="G96" s="111"/>
      <c r="H96" s="110"/>
      <c r="I96" s="111"/>
      <c r="J96" s="110"/>
      <c r="K96" s="112"/>
      <c r="L96" s="110"/>
      <c r="M96" s="111"/>
      <c r="N96" s="110"/>
      <c r="O96" s="111"/>
      <c r="P96" s="110"/>
      <c r="Q96" s="113"/>
      <c r="R96" s="110"/>
      <c r="S96" s="113"/>
      <c r="T96" s="72"/>
      <c r="U96" s="39"/>
      <c r="V96" s="72"/>
      <c r="W96" s="39"/>
      <c r="X96" s="72"/>
      <c r="Y96" s="37"/>
      <c r="Z96" s="72"/>
      <c r="AA96" s="37"/>
      <c r="AB96" s="72"/>
      <c r="AC96" s="39"/>
      <c r="AD96" s="72"/>
      <c r="AE96" s="39"/>
      <c r="AF96" s="72"/>
      <c r="AG96" s="37"/>
      <c r="AH96" s="72"/>
      <c r="AI96" s="39"/>
      <c r="AJ96" s="72"/>
      <c r="AK96" s="39"/>
      <c r="AL96" s="72"/>
      <c r="AM96" s="39"/>
      <c r="AN96" s="72"/>
      <c r="AO96" s="39"/>
    </row>
    <row r="97" spans="1:41" x14ac:dyDescent="0.2">
      <c r="A97" s="118" t="s">
        <v>106</v>
      </c>
      <c r="B97" s="118" t="s">
        <v>107</v>
      </c>
      <c r="C97" s="119">
        <f t="shared" si="3"/>
        <v>0</v>
      </c>
      <c r="D97" s="110"/>
      <c r="E97" s="111"/>
      <c r="F97" s="110"/>
      <c r="G97" s="111"/>
      <c r="H97" s="110"/>
      <c r="I97" s="111"/>
      <c r="J97" s="110"/>
      <c r="K97" s="112"/>
      <c r="L97" s="110"/>
      <c r="M97" s="111"/>
      <c r="N97" s="110"/>
      <c r="O97" s="111"/>
      <c r="P97" s="110"/>
      <c r="Q97" s="113"/>
      <c r="R97" s="110"/>
      <c r="S97" s="113"/>
      <c r="T97" s="72"/>
      <c r="U97" s="39"/>
      <c r="V97" s="72"/>
      <c r="W97" s="39"/>
      <c r="X97" s="72"/>
      <c r="Y97" s="37"/>
      <c r="Z97" s="72"/>
      <c r="AA97" s="37"/>
      <c r="AB97" s="72"/>
      <c r="AC97" s="39"/>
      <c r="AD97" s="72"/>
      <c r="AE97" s="39"/>
      <c r="AF97" s="72"/>
      <c r="AG97" s="37"/>
      <c r="AH97" s="72"/>
      <c r="AI97" s="39"/>
      <c r="AJ97" s="72"/>
      <c r="AK97" s="39"/>
      <c r="AL97" s="72"/>
      <c r="AM97" s="39"/>
      <c r="AN97" s="72"/>
      <c r="AO97" s="39"/>
    </row>
    <row r="98" spans="1:41" x14ac:dyDescent="0.2">
      <c r="A98" s="118" t="s">
        <v>142</v>
      </c>
      <c r="B98" s="118" t="s">
        <v>139</v>
      </c>
      <c r="C98" s="119">
        <f t="shared" si="3"/>
        <v>0</v>
      </c>
      <c r="D98" s="110"/>
      <c r="E98" s="111"/>
      <c r="F98" s="110"/>
      <c r="G98" s="111"/>
      <c r="H98" s="110"/>
      <c r="I98" s="111"/>
      <c r="J98" s="110"/>
      <c r="K98" s="112"/>
      <c r="L98" s="110"/>
      <c r="M98" s="111"/>
      <c r="N98" s="110"/>
      <c r="O98" s="111"/>
      <c r="P98" s="110"/>
      <c r="Q98" s="113"/>
      <c r="R98" s="110"/>
      <c r="S98" s="113"/>
      <c r="T98" s="72"/>
      <c r="U98" s="39"/>
      <c r="V98" s="72"/>
      <c r="W98" s="39"/>
      <c r="X98" s="72"/>
      <c r="Y98" s="37"/>
      <c r="Z98" s="72"/>
      <c r="AA98" s="37"/>
      <c r="AB98" s="72"/>
      <c r="AC98" s="39"/>
      <c r="AD98" s="72"/>
      <c r="AE98" s="39"/>
      <c r="AF98" s="72"/>
      <c r="AG98" s="37"/>
      <c r="AH98" s="72"/>
      <c r="AI98" s="39"/>
      <c r="AJ98" s="72"/>
      <c r="AK98" s="39"/>
      <c r="AL98" s="72"/>
      <c r="AM98" s="39"/>
      <c r="AN98" s="72"/>
      <c r="AO98" s="39"/>
    </row>
    <row r="99" spans="1:41" x14ac:dyDescent="0.2">
      <c r="A99" s="118" t="s">
        <v>142</v>
      </c>
      <c r="B99" s="118" t="s">
        <v>143</v>
      </c>
      <c r="C99" s="119">
        <f t="shared" si="3"/>
        <v>0</v>
      </c>
      <c r="D99" s="110"/>
      <c r="E99" s="111"/>
      <c r="F99" s="110"/>
      <c r="G99" s="111"/>
      <c r="H99" s="110"/>
      <c r="I99" s="111"/>
      <c r="J99" s="110"/>
      <c r="K99" s="112"/>
      <c r="L99" s="110"/>
      <c r="M99" s="111"/>
      <c r="N99" s="110"/>
      <c r="O99" s="111"/>
      <c r="P99" s="110"/>
      <c r="Q99" s="113"/>
      <c r="R99" s="110"/>
      <c r="S99" s="113"/>
      <c r="T99" s="72"/>
      <c r="U99" s="39"/>
      <c r="V99" s="72"/>
      <c r="W99" s="39"/>
      <c r="X99" s="72"/>
      <c r="Y99" s="37"/>
      <c r="Z99" s="72"/>
      <c r="AA99" s="37"/>
      <c r="AB99" s="72"/>
      <c r="AC99" s="39"/>
      <c r="AD99" s="72"/>
      <c r="AE99" s="39"/>
      <c r="AF99" s="72"/>
      <c r="AG99" s="37"/>
      <c r="AH99" s="72"/>
      <c r="AI99" s="39"/>
      <c r="AJ99" s="72"/>
      <c r="AK99" s="39"/>
      <c r="AL99" s="72"/>
      <c r="AM99" s="39"/>
      <c r="AN99" s="72"/>
      <c r="AO99" s="39"/>
    </row>
    <row r="100" spans="1:41" x14ac:dyDescent="0.2">
      <c r="A100" s="118" t="s">
        <v>145</v>
      </c>
      <c r="B100" s="118" t="s">
        <v>146</v>
      </c>
      <c r="C100" s="119">
        <f t="shared" si="3"/>
        <v>0</v>
      </c>
      <c r="D100" s="110"/>
      <c r="E100" s="111"/>
      <c r="F100" s="110"/>
      <c r="G100" s="111"/>
      <c r="H100" s="110"/>
      <c r="I100" s="111"/>
      <c r="J100" s="110"/>
      <c r="K100" s="112"/>
      <c r="L100" s="110"/>
      <c r="M100" s="111"/>
      <c r="N100" s="110"/>
      <c r="O100" s="111"/>
      <c r="P100" s="110"/>
      <c r="Q100" s="113"/>
      <c r="R100" s="110"/>
      <c r="S100" s="113"/>
      <c r="T100" s="72"/>
      <c r="U100" s="39"/>
      <c r="V100" s="72"/>
      <c r="W100" s="39"/>
      <c r="X100" s="72"/>
      <c r="Y100" s="37"/>
      <c r="Z100" s="72"/>
      <c r="AA100" s="37"/>
      <c r="AB100" s="72"/>
      <c r="AC100" s="39"/>
      <c r="AD100" s="72"/>
      <c r="AE100" s="39"/>
      <c r="AF100" s="72"/>
      <c r="AG100" s="37"/>
      <c r="AH100" s="72"/>
      <c r="AI100" s="39"/>
      <c r="AJ100" s="72"/>
      <c r="AK100" s="39"/>
      <c r="AL100" s="72"/>
      <c r="AM100" s="39"/>
      <c r="AN100" s="72"/>
      <c r="AO100" s="39"/>
    </row>
    <row r="101" spans="1:41" x14ac:dyDescent="0.2">
      <c r="A101" s="118" t="s">
        <v>166</v>
      </c>
      <c r="B101" s="118" t="s">
        <v>84</v>
      </c>
      <c r="C101" s="119">
        <f t="shared" si="3"/>
        <v>0</v>
      </c>
      <c r="D101" s="114"/>
      <c r="E101" s="115"/>
      <c r="F101" s="114"/>
      <c r="G101" s="115"/>
      <c r="H101" s="114"/>
      <c r="I101" s="115"/>
      <c r="J101" s="114"/>
      <c r="K101" s="116"/>
      <c r="L101" s="114"/>
      <c r="M101" s="115"/>
      <c r="N101" s="114"/>
      <c r="O101" s="115"/>
      <c r="P101" s="114"/>
      <c r="Q101" s="117"/>
      <c r="R101" s="114"/>
      <c r="S101" s="117"/>
      <c r="T101" s="72"/>
      <c r="U101" s="39"/>
      <c r="V101" s="72"/>
      <c r="W101" s="39"/>
      <c r="X101" s="72"/>
      <c r="Y101" s="37"/>
      <c r="Z101" s="72"/>
      <c r="AA101" s="37"/>
      <c r="AB101" s="72"/>
      <c r="AC101" s="39"/>
      <c r="AD101" s="72"/>
      <c r="AE101" s="39"/>
      <c r="AF101" s="72"/>
      <c r="AG101" s="37"/>
      <c r="AH101" s="72"/>
      <c r="AI101" s="39"/>
      <c r="AJ101" s="72"/>
      <c r="AK101" s="39"/>
      <c r="AL101" s="72"/>
      <c r="AM101" s="39"/>
      <c r="AN101" s="72"/>
      <c r="AO101" s="39"/>
    </row>
  </sheetData>
  <sortState xmlns:xlrd2="http://schemas.microsoft.com/office/spreadsheetml/2017/richdata2" ref="AQ4:AS18">
    <sortCondition descending="1" ref="AQ4:AQ18"/>
    <sortCondition ref="AR4:AR18"/>
  </sortState>
  <mergeCells count="20">
    <mergeCell ref="AU2:AV2"/>
    <mergeCell ref="J1:K1"/>
    <mergeCell ref="D1:E1"/>
    <mergeCell ref="F1:G1"/>
    <mergeCell ref="H1:I1"/>
    <mergeCell ref="L1:M1"/>
    <mergeCell ref="N1:O1"/>
    <mergeCell ref="AN1:AO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P1:Q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8F2E-3467-4CF1-B70D-2D9191969FE2}">
  <dimension ref="A1:AR102"/>
  <sheetViews>
    <sheetView showGridLines="0" workbookViewId="0">
      <pane ySplit="1" topLeftCell="A74" activePane="bottomLeft" state="frozen"/>
      <selection pane="bottomLeft" activeCell="S76" sqref="S76"/>
    </sheetView>
  </sheetViews>
  <sheetFormatPr defaultRowHeight="14.25" x14ac:dyDescent="0.2"/>
  <cols>
    <col min="1" max="1" width="9" style="32"/>
    <col min="2" max="2" width="9.375" style="32" customWidth="1"/>
    <col min="3" max="3" width="6.75" style="50" bestFit="1" customWidth="1"/>
    <col min="4" max="4" width="2.625" style="33" customWidth="1"/>
    <col min="5" max="5" width="16.625" style="34" customWidth="1"/>
    <col min="6" max="6" width="2.625" style="34" customWidth="1"/>
    <col min="7" max="7" width="16.625" style="34" customWidth="1"/>
    <col min="8" max="8" width="2.625" style="34" customWidth="1"/>
    <col min="9" max="9" width="16.625" style="34" customWidth="1"/>
    <col min="10" max="10" width="2.625" style="34" customWidth="1"/>
    <col min="11" max="11" width="16.625" style="34" customWidth="1"/>
    <col min="12" max="12" width="2.625" style="34" customWidth="1"/>
    <col min="13" max="13" width="16.625" style="34" customWidth="1"/>
    <col min="14" max="14" width="2.625" style="34" customWidth="1"/>
    <col min="15" max="15" width="16.625" style="31" customWidth="1"/>
    <col min="16" max="16" width="2.625" style="31" customWidth="1"/>
    <col min="17" max="17" width="16.625" style="34" customWidth="1"/>
    <col min="18" max="18" width="2.625" style="34" customWidth="1"/>
    <col min="19" max="19" width="16.625" style="34" customWidth="1"/>
    <col min="20" max="20" width="2.625" style="32" hidden="1" customWidth="1"/>
    <col min="21" max="21" width="9" hidden="1" customWidth="1"/>
    <col min="22" max="22" width="2.625" style="32" hidden="1" customWidth="1"/>
    <col min="23" max="23" width="9" hidden="1" customWidth="1"/>
    <col min="24" max="24" width="2.625" style="31" hidden="1" customWidth="1"/>
    <col min="25" max="25" width="9" style="34" hidden="1" customWidth="1"/>
    <col min="26" max="26" width="2.625" style="34" hidden="1" customWidth="1"/>
    <col min="27" max="27" width="9" style="34" hidden="1" customWidth="1"/>
    <col min="28" max="28" width="2.625" style="32" hidden="1" customWidth="1"/>
    <col min="29" max="29" width="9" hidden="1" customWidth="1"/>
    <col min="30" max="30" width="2.625" style="32" hidden="1" customWidth="1"/>
    <col min="31" max="31" width="9" hidden="1" customWidth="1"/>
    <col min="32" max="32" width="2.625" style="34" hidden="1" customWidth="1"/>
    <col min="33" max="33" width="9" style="34" hidden="1" customWidth="1"/>
    <col min="34" max="34" width="2.625" style="32" hidden="1" customWidth="1"/>
    <col min="35" max="35" width="9" hidden="1" customWidth="1"/>
    <col min="36" max="36" width="2.625" style="32" hidden="1" customWidth="1"/>
    <col min="37" max="37" width="9" hidden="1" customWidth="1"/>
    <col min="38" max="38" width="2.625" style="32" hidden="1" customWidth="1"/>
    <col min="39" max="39" width="9" hidden="1" customWidth="1"/>
    <col min="40" max="40" width="2.625" style="32" hidden="1" customWidth="1"/>
    <col min="41" max="41" width="9" hidden="1" customWidth="1"/>
    <col min="42" max="42" width="2.875" customWidth="1"/>
    <col min="44" max="44" width="67" bestFit="1" customWidth="1"/>
  </cols>
  <sheetData>
    <row r="1" spans="1:44" s="82" customFormat="1" ht="18" customHeight="1" x14ac:dyDescent="0.2">
      <c r="A1" s="61" t="s">
        <v>177</v>
      </c>
      <c r="B1" s="61" t="s">
        <v>178</v>
      </c>
      <c r="C1" s="62" t="s">
        <v>174</v>
      </c>
      <c r="D1" s="148">
        <v>2017</v>
      </c>
      <c r="E1" s="149"/>
      <c r="F1" s="148">
        <v>2018</v>
      </c>
      <c r="G1" s="149"/>
      <c r="H1" s="148">
        <v>2019</v>
      </c>
      <c r="I1" s="149"/>
      <c r="J1" s="103"/>
      <c r="K1" s="103">
        <v>2020</v>
      </c>
      <c r="L1" s="148">
        <v>2021</v>
      </c>
      <c r="M1" s="149"/>
      <c r="N1" s="148">
        <v>2022</v>
      </c>
      <c r="O1" s="149"/>
      <c r="P1" s="148">
        <v>2023</v>
      </c>
      <c r="Q1" s="149"/>
      <c r="R1" s="148">
        <v>2024</v>
      </c>
      <c r="S1" s="149"/>
      <c r="T1" s="148">
        <v>2025</v>
      </c>
      <c r="U1" s="149"/>
      <c r="V1" s="148">
        <v>2026</v>
      </c>
      <c r="W1" s="149"/>
      <c r="X1" s="148">
        <v>2027</v>
      </c>
      <c r="Y1" s="149"/>
      <c r="Z1" s="148">
        <v>2028</v>
      </c>
      <c r="AA1" s="149"/>
      <c r="AB1" s="148">
        <v>2029</v>
      </c>
      <c r="AC1" s="149"/>
      <c r="AD1" s="148">
        <v>2030</v>
      </c>
      <c r="AE1" s="149"/>
      <c r="AF1" s="148">
        <v>2031</v>
      </c>
      <c r="AG1" s="149"/>
      <c r="AH1" s="148">
        <v>2032</v>
      </c>
      <c r="AI1" s="149"/>
      <c r="AJ1" s="148">
        <v>2033</v>
      </c>
      <c r="AK1" s="149"/>
      <c r="AL1" s="148">
        <v>2034</v>
      </c>
      <c r="AM1" s="149"/>
      <c r="AN1" s="148">
        <v>2035</v>
      </c>
      <c r="AO1" s="149"/>
      <c r="AQ1" s="83"/>
    </row>
    <row r="2" spans="1:44" x14ac:dyDescent="0.2">
      <c r="A2" s="47" t="s">
        <v>1</v>
      </c>
      <c r="B2" s="47" t="s">
        <v>2</v>
      </c>
      <c r="C2" s="51">
        <f>SUM(D2+F2+H2+J2+L2+N2+P2+R2+T2+V2+X2+Z2+AB2+AD2+AF2+AH2+AJ2+AL2+AN2)</f>
        <v>5</v>
      </c>
      <c r="D2" s="71">
        <v>0</v>
      </c>
      <c r="E2" s="36"/>
      <c r="F2" s="71">
        <v>0</v>
      </c>
      <c r="G2" s="36"/>
      <c r="H2" s="71">
        <v>0</v>
      </c>
      <c r="I2" s="36"/>
      <c r="J2" s="71">
        <v>0</v>
      </c>
      <c r="K2" s="43"/>
      <c r="L2" s="71">
        <v>1</v>
      </c>
      <c r="M2" s="36" t="s">
        <v>245</v>
      </c>
      <c r="N2" s="71">
        <v>2</v>
      </c>
      <c r="O2" s="36" t="s">
        <v>295</v>
      </c>
      <c r="P2" s="71">
        <v>1</v>
      </c>
      <c r="Q2" s="37" t="s">
        <v>245</v>
      </c>
      <c r="R2" s="71">
        <v>1</v>
      </c>
      <c r="S2" s="37" t="s">
        <v>294</v>
      </c>
      <c r="T2" s="71"/>
      <c r="U2" s="39"/>
      <c r="V2" s="41"/>
      <c r="W2" s="71"/>
      <c r="X2" s="71"/>
      <c r="Y2" s="37"/>
      <c r="Z2" s="40"/>
      <c r="AA2" s="71"/>
      <c r="AB2" s="71"/>
      <c r="AC2" s="39"/>
      <c r="AD2" s="71"/>
      <c r="AE2" s="39"/>
      <c r="AF2" s="71"/>
      <c r="AG2" s="37"/>
      <c r="AH2" s="71"/>
      <c r="AI2" s="39"/>
      <c r="AJ2" s="71"/>
      <c r="AK2" s="39"/>
      <c r="AL2" s="71"/>
      <c r="AM2" s="39"/>
      <c r="AN2" s="41"/>
      <c r="AO2" s="71"/>
      <c r="AQ2" s="150"/>
      <c r="AR2" s="150"/>
    </row>
    <row r="3" spans="1:44" x14ac:dyDescent="0.2">
      <c r="A3" s="47" t="s">
        <v>6</v>
      </c>
      <c r="B3" s="47" t="s">
        <v>7</v>
      </c>
      <c r="C3" s="51">
        <f t="shared" ref="C3:C66" si="0">SUM(D3+F3+H3+J3+L3+N3+P3+R3+T3+V3+X3+Z3+AB3+AD3+AF3+AH3+AJ3+AL3+AN3)</f>
        <v>0</v>
      </c>
      <c r="D3" s="72">
        <v>0</v>
      </c>
      <c r="E3" s="36"/>
      <c r="F3" s="72">
        <v>0</v>
      </c>
      <c r="G3" s="36"/>
      <c r="H3" s="72">
        <v>0</v>
      </c>
      <c r="I3" s="36"/>
      <c r="J3" s="72">
        <v>0</v>
      </c>
      <c r="K3" s="43"/>
      <c r="L3" s="72">
        <v>0</v>
      </c>
      <c r="M3" s="36"/>
      <c r="N3" s="72">
        <v>0</v>
      </c>
      <c r="O3" s="36"/>
      <c r="P3" s="72">
        <v>0</v>
      </c>
      <c r="Q3" s="37"/>
      <c r="R3" s="72">
        <v>0</v>
      </c>
      <c r="S3" s="37"/>
      <c r="T3" s="72"/>
      <c r="U3" s="39"/>
      <c r="V3" s="38"/>
      <c r="W3" s="72"/>
      <c r="X3" s="72"/>
      <c r="Y3" s="37"/>
      <c r="Z3" s="35"/>
      <c r="AA3" s="72"/>
      <c r="AB3" s="72"/>
      <c r="AC3" s="39"/>
      <c r="AD3" s="72"/>
      <c r="AE3" s="39"/>
      <c r="AF3" s="72"/>
      <c r="AG3" s="37"/>
      <c r="AH3" s="72"/>
      <c r="AI3" s="39"/>
      <c r="AJ3" s="72"/>
      <c r="AK3" s="39"/>
      <c r="AL3" s="72"/>
      <c r="AM3" s="39"/>
      <c r="AN3" s="38"/>
      <c r="AO3" s="72"/>
      <c r="AQ3" s="60"/>
      <c r="AR3" s="18"/>
    </row>
    <row r="4" spans="1:44" ht="15.75" customHeight="1" x14ac:dyDescent="0.2">
      <c r="A4" s="47" t="s">
        <v>10</v>
      </c>
      <c r="B4" s="47" t="s">
        <v>11</v>
      </c>
      <c r="C4" s="51">
        <f t="shared" si="0"/>
        <v>0</v>
      </c>
      <c r="D4" s="98"/>
      <c r="E4" s="99"/>
      <c r="F4" s="98"/>
      <c r="G4" s="99"/>
      <c r="H4" s="98"/>
      <c r="I4" s="99"/>
      <c r="J4" s="98"/>
      <c r="K4" s="100"/>
      <c r="L4" s="98"/>
      <c r="M4" s="99"/>
      <c r="N4" s="98"/>
      <c r="O4" s="99"/>
      <c r="P4" s="72">
        <v>0</v>
      </c>
      <c r="Q4" s="37"/>
      <c r="R4" s="72">
        <v>0</v>
      </c>
      <c r="S4" s="37"/>
      <c r="T4" s="72"/>
      <c r="U4" s="39"/>
      <c r="V4" s="38"/>
      <c r="W4" s="72"/>
      <c r="X4" s="72"/>
      <c r="Y4" s="37"/>
      <c r="Z4" s="35"/>
      <c r="AA4" s="72"/>
      <c r="AB4" s="72"/>
      <c r="AC4" s="39"/>
      <c r="AD4" s="72"/>
      <c r="AE4" s="39"/>
      <c r="AF4" s="72"/>
      <c r="AG4" s="37"/>
      <c r="AH4" s="72"/>
      <c r="AI4" s="39"/>
      <c r="AJ4" s="72"/>
      <c r="AK4" s="39"/>
      <c r="AL4" s="72"/>
      <c r="AM4" s="39"/>
      <c r="AN4" s="38"/>
      <c r="AO4" s="72"/>
      <c r="AQ4" s="63"/>
    </row>
    <row r="5" spans="1:44" x14ac:dyDescent="0.2">
      <c r="A5" s="47" t="s">
        <v>12</v>
      </c>
      <c r="B5" s="47" t="s">
        <v>13</v>
      </c>
      <c r="C5" s="51">
        <f t="shared" si="0"/>
        <v>1</v>
      </c>
      <c r="D5" s="72">
        <v>1</v>
      </c>
      <c r="E5" s="36" t="s">
        <v>246</v>
      </c>
      <c r="F5" s="72">
        <v>0</v>
      </c>
      <c r="G5" s="36"/>
      <c r="H5" s="72">
        <v>0</v>
      </c>
      <c r="I5" s="36"/>
      <c r="J5" s="72">
        <v>0</v>
      </c>
      <c r="K5" s="43"/>
      <c r="L5" s="72">
        <v>0</v>
      </c>
      <c r="M5" s="36"/>
      <c r="N5" s="72">
        <v>0</v>
      </c>
      <c r="O5" s="36"/>
      <c r="P5" s="72">
        <v>0</v>
      </c>
      <c r="Q5" s="37"/>
      <c r="R5" s="72">
        <v>0</v>
      </c>
      <c r="S5" s="37"/>
      <c r="T5" s="72"/>
      <c r="U5" s="39"/>
      <c r="V5" s="38"/>
      <c r="W5" s="72"/>
      <c r="X5" s="72"/>
      <c r="Y5" s="37"/>
      <c r="Z5" s="35"/>
      <c r="AA5" s="72"/>
      <c r="AB5" s="72"/>
      <c r="AC5" s="39"/>
      <c r="AD5" s="72"/>
      <c r="AE5" s="39"/>
      <c r="AF5" s="72"/>
      <c r="AG5" s="37"/>
      <c r="AH5" s="72"/>
      <c r="AI5" s="39"/>
      <c r="AJ5" s="72"/>
      <c r="AK5" s="39"/>
      <c r="AL5" s="72"/>
      <c r="AM5" s="39"/>
      <c r="AN5" s="38"/>
      <c r="AO5" s="72"/>
      <c r="AQ5" s="63"/>
    </row>
    <row r="6" spans="1:44" x14ac:dyDescent="0.2">
      <c r="A6" s="47" t="s">
        <v>14</v>
      </c>
      <c r="B6" s="47" t="s">
        <v>15</v>
      </c>
      <c r="C6" s="51">
        <f t="shared" si="0"/>
        <v>15</v>
      </c>
      <c r="D6" s="72">
        <v>0</v>
      </c>
      <c r="E6" s="36"/>
      <c r="F6" s="72">
        <v>1</v>
      </c>
      <c r="G6" s="36" t="s">
        <v>245</v>
      </c>
      <c r="H6" s="72">
        <v>3</v>
      </c>
      <c r="I6" s="36" t="s">
        <v>250</v>
      </c>
      <c r="J6" s="72">
        <v>1</v>
      </c>
      <c r="K6" s="43" t="s">
        <v>244</v>
      </c>
      <c r="L6" s="72">
        <v>3</v>
      </c>
      <c r="M6" s="36" t="s">
        <v>249</v>
      </c>
      <c r="N6" s="72">
        <v>2</v>
      </c>
      <c r="O6" s="36" t="s">
        <v>248</v>
      </c>
      <c r="P6" s="72">
        <v>3</v>
      </c>
      <c r="Q6" s="37" t="s">
        <v>249</v>
      </c>
      <c r="R6" s="72">
        <v>2</v>
      </c>
      <c r="S6" s="37" t="s">
        <v>328</v>
      </c>
      <c r="T6" s="72"/>
      <c r="U6" s="39"/>
      <c r="V6" s="38"/>
      <c r="W6" s="72"/>
      <c r="X6" s="72"/>
      <c r="Y6" s="37"/>
      <c r="Z6" s="35"/>
      <c r="AA6" s="72"/>
      <c r="AB6" s="72"/>
      <c r="AC6" s="39"/>
      <c r="AD6" s="72"/>
      <c r="AE6" s="39"/>
      <c r="AF6" s="72"/>
      <c r="AG6" s="37"/>
      <c r="AH6" s="72"/>
      <c r="AI6" s="39"/>
      <c r="AJ6" s="72"/>
      <c r="AK6" s="39"/>
      <c r="AL6" s="72"/>
      <c r="AM6" s="39"/>
      <c r="AN6" s="38"/>
      <c r="AO6" s="72"/>
      <c r="AQ6" s="63"/>
    </row>
    <row r="7" spans="1:44" x14ac:dyDescent="0.2">
      <c r="A7" s="47" t="s">
        <v>16</v>
      </c>
      <c r="B7" s="47" t="s">
        <v>17</v>
      </c>
      <c r="C7" s="51">
        <f t="shared" si="0"/>
        <v>0</v>
      </c>
      <c r="D7" s="98"/>
      <c r="E7" s="99"/>
      <c r="F7" s="98"/>
      <c r="G7" s="99"/>
      <c r="H7" s="98"/>
      <c r="I7" s="99"/>
      <c r="J7" s="98"/>
      <c r="K7" s="100"/>
      <c r="L7" s="72">
        <v>0</v>
      </c>
      <c r="M7" s="36"/>
      <c r="N7" s="72">
        <v>0</v>
      </c>
      <c r="O7" s="36"/>
      <c r="P7" s="72">
        <v>0</v>
      </c>
      <c r="Q7" s="37"/>
      <c r="R7" s="72">
        <v>0</v>
      </c>
      <c r="S7" s="37"/>
      <c r="T7" s="72"/>
      <c r="U7" s="39"/>
      <c r="V7" s="38"/>
      <c r="W7" s="72"/>
      <c r="X7" s="72"/>
      <c r="Y7" s="37"/>
      <c r="Z7" s="35"/>
      <c r="AA7" s="72"/>
      <c r="AB7" s="72"/>
      <c r="AC7" s="39"/>
      <c r="AD7" s="72"/>
      <c r="AE7" s="39"/>
      <c r="AF7" s="72"/>
      <c r="AG7" s="37"/>
      <c r="AH7" s="72"/>
      <c r="AI7" s="39"/>
      <c r="AJ7" s="72"/>
      <c r="AK7" s="39"/>
      <c r="AL7" s="72"/>
      <c r="AM7" s="39"/>
      <c r="AN7" s="38"/>
      <c r="AO7" s="72"/>
      <c r="AQ7" s="63"/>
    </row>
    <row r="8" spans="1:44" x14ac:dyDescent="0.2">
      <c r="A8" s="47" t="s">
        <v>19</v>
      </c>
      <c r="B8" s="47" t="s">
        <v>20</v>
      </c>
      <c r="C8" s="85">
        <f t="shared" si="0"/>
        <v>0</v>
      </c>
      <c r="D8" s="98"/>
      <c r="E8" s="99"/>
      <c r="F8" s="98"/>
      <c r="G8" s="99"/>
      <c r="H8" s="98"/>
      <c r="I8" s="99"/>
      <c r="J8" s="72">
        <v>0</v>
      </c>
      <c r="K8" s="43"/>
      <c r="L8" s="72">
        <v>0</v>
      </c>
      <c r="M8" s="36"/>
      <c r="N8" s="72">
        <v>0</v>
      </c>
      <c r="O8" s="36"/>
      <c r="P8" s="72">
        <v>0</v>
      </c>
      <c r="Q8" s="37"/>
      <c r="R8" s="72">
        <v>0</v>
      </c>
      <c r="S8" s="37"/>
      <c r="T8" s="72"/>
      <c r="U8" s="39"/>
      <c r="V8" s="38"/>
      <c r="W8" s="72"/>
      <c r="X8" s="72"/>
      <c r="Y8" s="37"/>
      <c r="Z8" s="35"/>
      <c r="AA8" s="72"/>
      <c r="AB8" s="72"/>
      <c r="AC8" s="39"/>
      <c r="AD8" s="72"/>
      <c r="AE8" s="39"/>
      <c r="AF8" s="72"/>
      <c r="AG8" s="37"/>
      <c r="AH8" s="72"/>
      <c r="AI8" s="39"/>
      <c r="AJ8" s="72"/>
      <c r="AK8" s="39"/>
      <c r="AL8" s="72"/>
      <c r="AM8" s="39"/>
      <c r="AN8" s="38"/>
      <c r="AO8" s="72"/>
      <c r="AQ8" s="58"/>
    </row>
    <row r="9" spans="1:44" x14ac:dyDescent="0.2">
      <c r="A9" s="47" t="s">
        <v>21</v>
      </c>
      <c r="B9" s="47" t="s">
        <v>22</v>
      </c>
      <c r="C9" s="51">
        <f t="shared" si="0"/>
        <v>3</v>
      </c>
      <c r="D9" s="72">
        <v>1</v>
      </c>
      <c r="E9" s="36" t="s">
        <v>253</v>
      </c>
      <c r="F9" s="72">
        <v>1</v>
      </c>
      <c r="G9" s="36" t="s">
        <v>253</v>
      </c>
      <c r="H9" s="72">
        <v>1</v>
      </c>
      <c r="I9" s="36" t="s">
        <v>253</v>
      </c>
      <c r="J9" s="72">
        <v>0</v>
      </c>
      <c r="K9" s="43"/>
      <c r="L9" s="72">
        <v>0</v>
      </c>
      <c r="M9" s="36"/>
      <c r="N9" s="72">
        <v>0</v>
      </c>
      <c r="O9" s="36"/>
      <c r="P9" s="72">
        <v>0</v>
      </c>
      <c r="Q9" s="37"/>
      <c r="R9" s="72">
        <v>0</v>
      </c>
      <c r="S9" s="37"/>
      <c r="T9" s="72"/>
      <c r="U9" s="39"/>
      <c r="V9" s="38"/>
      <c r="W9" s="72"/>
      <c r="X9" s="72"/>
      <c r="Y9" s="37"/>
      <c r="Z9" s="35"/>
      <c r="AA9" s="72"/>
      <c r="AB9" s="72"/>
      <c r="AC9" s="39"/>
      <c r="AD9" s="72"/>
      <c r="AE9" s="39"/>
      <c r="AF9" s="72"/>
      <c r="AG9" s="37"/>
      <c r="AH9" s="72"/>
      <c r="AI9" s="39"/>
      <c r="AJ9" s="72"/>
      <c r="AK9" s="39"/>
      <c r="AL9" s="72"/>
      <c r="AM9" s="39"/>
      <c r="AN9" s="38"/>
      <c r="AO9" s="72"/>
      <c r="AQ9" s="2" t="s">
        <v>251</v>
      </c>
      <c r="AR9" t="s">
        <v>252</v>
      </c>
    </row>
    <row r="10" spans="1:44" x14ac:dyDescent="0.2">
      <c r="A10" s="47" t="s">
        <v>24</v>
      </c>
      <c r="B10" s="47" t="s">
        <v>25</v>
      </c>
      <c r="C10" s="51">
        <f t="shared" si="0"/>
        <v>0</v>
      </c>
      <c r="D10" s="98"/>
      <c r="E10" s="99"/>
      <c r="F10" s="98"/>
      <c r="G10" s="99"/>
      <c r="H10" s="98"/>
      <c r="I10" s="99"/>
      <c r="J10" s="98"/>
      <c r="K10" s="100"/>
      <c r="L10" s="98"/>
      <c r="M10" s="99"/>
      <c r="N10" s="98"/>
      <c r="O10" s="99"/>
      <c r="P10" s="98"/>
      <c r="Q10" s="101"/>
      <c r="R10" s="72">
        <v>0</v>
      </c>
      <c r="S10" s="37"/>
      <c r="T10" s="72"/>
      <c r="U10" s="39"/>
      <c r="V10" s="38"/>
      <c r="W10" s="72"/>
      <c r="X10" s="72"/>
      <c r="Y10" s="37"/>
      <c r="Z10" s="35"/>
      <c r="AA10" s="72"/>
      <c r="AB10" s="72"/>
      <c r="AC10" s="39"/>
      <c r="AD10" s="72"/>
      <c r="AE10" s="39"/>
      <c r="AF10" s="72"/>
      <c r="AG10" s="37"/>
      <c r="AH10" s="72"/>
      <c r="AI10" s="39"/>
      <c r="AJ10" s="72"/>
      <c r="AK10" s="39"/>
      <c r="AL10" s="72"/>
      <c r="AM10" s="39"/>
      <c r="AN10" s="38"/>
      <c r="AO10" s="72"/>
      <c r="AQ10" s="58"/>
    </row>
    <row r="11" spans="1:44" x14ac:dyDescent="0.2">
      <c r="A11" s="47" t="s">
        <v>26</v>
      </c>
      <c r="B11" s="47" t="s">
        <v>8</v>
      </c>
      <c r="C11" s="51">
        <f t="shared" si="0"/>
        <v>1</v>
      </c>
      <c r="D11" s="72">
        <v>1</v>
      </c>
      <c r="E11" s="36" t="s">
        <v>257</v>
      </c>
      <c r="F11" s="72">
        <v>0</v>
      </c>
      <c r="G11" s="36"/>
      <c r="H11" s="72">
        <v>0</v>
      </c>
      <c r="I11" s="36"/>
      <c r="J11" s="72">
        <v>0</v>
      </c>
      <c r="K11" s="43"/>
      <c r="L11" s="72">
        <v>0</v>
      </c>
      <c r="M11" s="36"/>
      <c r="N11" s="72">
        <v>0</v>
      </c>
      <c r="O11" s="36"/>
      <c r="P11" s="72">
        <v>0</v>
      </c>
      <c r="Q11" s="37"/>
      <c r="R11" s="72">
        <v>0</v>
      </c>
      <c r="S11" s="37"/>
      <c r="T11" s="72"/>
      <c r="U11" s="39"/>
      <c r="V11" s="38"/>
      <c r="W11" s="72"/>
      <c r="X11" s="72"/>
      <c r="Y11" s="37"/>
      <c r="Z11" s="35"/>
      <c r="AA11" s="72"/>
      <c r="AB11" s="72"/>
      <c r="AC11" s="39"/>
      <c r="AD11" s="72"/>
      <c r="AE11" s="39"/>
      <c r="AF11" s="72"/>
      <c r="AG11" s="37"/>
      <c r="AH11" s="72"/>
      <c r="AI11" s="39"/>
      <c r="AJ11" s="72"/>
      <c r="AK11" s="39"/>
      <c r="AL11" s="72"/>
      <c r="AM11" s="39"/>
      <c r="AN11" s="38"/>
      <c r="AO11" s="72"/>
      <c r="AQ11" s="58" t="s">
        <v>275</v>
      </c>
      <c r="AR11" t="s">
        <v>313</v>
      </c>
    </row>
    <row r="12" spans="1:44" x14ac:dyDescent="0.2">
      <c r="A12" s="47" t="s">
        <v>27</v>
      </c>
      <c r="B12" s="47" t="s">
        <v>28</v>
      </c>
      <c r="C12" s="51">
        <f t="shared" si="0"/>
        <v>3</v>
      </c>
      <c r="D12" s="72">
        <v>0</v>
      </c>
      <c r="E12" s="36"/>
      <c r="F12" s="72">
        <v>0</v>
      </c>
      <c r="G12" s="36"/>
      <c r="H12" s="72">
        <v>1</v>
      </c>
      <c r="I12" s="36" t="s">
        <v>258</v>
      </c>
      <c r="J12" s="72">
        <v>0</v>
      </c>
      <c r="K12" s="43"/>
      <c r="L12" s="72">
        <v>1</v>
      </c>
      <c r="M12" s="36" t="s">
        <v>258</v>
      </c>
      <c r="N12" s="72">
        <v>1</v>
      </c>
      <c r="O12" s="36" t="s">
        <v>240</v>
      </c>
      <c r="P12" s="72">
        <v>0</v>
      </c>
      <c r="Q12" s="37"/>
      <c r="R12" s="72">
        <v>0</v>
      </c>
      <c r="S12" s="37"/>
      <c r="T12" s="72"/>
      <c r="U12" s="39"/>
      <c r="V12" s="38"/>
      <c r="W12" s="72"/>
      <c r="X12" s="72"/>
      <c r="Y12" s="37"/>
      <c r="Z12" s="35"/>
      <c r="AA12" s="72"/>
      <c r="AB12" s="72"/>
      <c r="AC12" s="39"/>
      <c r="AD12" s="72"/>
      <c r="AE12" s="39"/>
      <c r="AF12" s="72"/>
      <c r="AG12" s="37"/>
      <c r="AH12" s="72"/>
      <c r="AI12" s="39"/>
      <c r="AJ12" s="72"/>
      <c r="AK12" s="39"/>
      <c r="AL12" s="72"/>
      <c r="AM12" s="39"/>
      <c r="AN12" s="38"/>
      <c r="AO12" s="72"/>
      <c r="AQ12" s="58" t="s">
        <v>310</v>
      </c>
      <c r="AR12" t="s">
        <v>213</v>
      </c>
    </row>
    <row r="13" spans="1:44" x14ac:dyDescent="0.2">
      <c r="A13" s="47" t="s">
        <v>32</v>
      </c>
      <c r="B13" s="47" t="s">
        <v>18</v>
      </c>
      <c r="C13" s="51">
        <f t="shared" si="0"/>
        <v>1</v>
      </c>
      <c r="D13" s="98"/>
      <c r="E13" s="99"/>
      <c r="F13" s="98"/>
      <c r="G13" s="99"/>
      <c r="H13" s="98"/>
      <c r="I13" s="99"/>
      <c r="J13" s="72">
        <v>0</v>
      </c>
      <c r="K13" s="43"/>
      <c r="L13" s="72">
        <v>0</v>
      </c>
      <c r="M13" s="36"/>
      <c r="N13" s="72">
        <v>0</v>
      </c>
      <c r="O13" s="36"/>
      <c r="P13" s="72">
        <v>0</v>
      </c>
      <c r="Q13" s="37"/>
      <c r="R13" s="72">
        <v>1</v>
      </c>
      <c r="S13" s="37" t="s">
        <v>260</v>
      </c>
      <c r="T13" s="72"/>
      <c r="U13" s="39"/>
      <c r="V13" s="38"/>
      <c r="W13" s="72"/>
      <c r="X13" s="72"/>
      <c r="Y13" s="37"/>
      <c r="Z13" s="35"/>
      <c r="AA13" s="72"/>
      <c r="AB13" s="72"/>
      <c r="AC13" s="39"/>
      <c r="AD13" s="72"/>
      <c r="AE13" s="39"/>
      <c r="AF13" s="72"/>
      <c r="AG13" s="37"/>
      <c r="AH13" s="72"/>
      <c r="AI13" s="39"/>
      <c r="AJ13" s="72"/>
      <c r="AK13" s="39"/>
      <c r="AL13" s="72"/>
      <c r="AM13" s="39"/>
      <c r="AN13" s="38"/>
      <c r="AO13" s="72"/>
      <c r="AQ13" s="58" t="s">
        <v>266</v>
      </c>
      <c r="AR13" t="s">
        <v>267</v>
      </c>
    </row>
    <row r="14" spans="1:44" x14ac:dyDescent="0.2">
      <c r="A14" s="47" t="s">
        <v>33</v>
      </c>
      <c r="B14" s="47" t="s">
        <v>17</v>
      </c>
      <c r="C14" s="51">
        <f>SUM(D14+F14+H14+J14+L14+N14+P14+R14+T14+V14+X14+Z14+AB14+AD14+AF14+AH14+AJ14+AL14+AN14)</f>
        <v>3</v>
      </c>
      <c r="D14" s="98"/>
      <c r="E14" s="99"/>
      <c r="F14" s="98"/>
      <c r="G14" s="99"/>
      <c r="H14" s="98"/>
      <c r="I14" s="99"/>
      <c r="J14" s="72">
        <v>0</v>
      </c>
      <c r="K14" s="43"/>
      <c r="L14" s="72">
        <v>0</v>
      </c>
      <c r="M14" s="36"/>
      <c r="N14" s="72">
        <v>1</v>
      </c>
      <c r="O14" s="36" t="s">
        <v>262</v>
      </c>
      <c r="P14" s="72">
        <v>1</v>
      </c>
      <c r="Q14" s="37" t="s">
        <v>262</v>
      </c>
      <c r="R14" s="72">
        <v>1</v>
      </c>
      <c r="S14" s="37" t="s">
        <v>262</v>
      </c>
      <c r="T14" s="72"/>
      <c r="U14" s="39"/>
      <c r="V14" s="38"/>
      <c r="W14" s="72"/>
      <c r="X14" s="72"/>
      <c r="Y14" s="37"/>
      <c r="Z14" s="35"/>
      <c r="AA14" s="72"/>
      <c r="AB14" s="72"/>
      <c r="AC14" s="39"/>
      <c r="AD14" s="72"/>
      <c r="AE14" s="39"/>
      <c r="AF14" s="72"/>
      <c r="AG14" s="37"/>
      <c r="AH14" s="72"/>
      <c r="AI14" s="39"/>
      <c r="AJ14" s="72"/>
      <c r="AK14" s="39"/>
      <c r="AL14" s="72"/>
      <c r="AM14" s="39"/>
      <c r="AN14" s="38"/>
      <c r="AO14" s="72"/>
      <c r="AQ14" s="58" t="s">
        <v>289</v>
      </c>
      <c r="AR14" t="s">
        <v>290</v>
      </c>
    </row>
    <row r="15" spans="1:44" x14ac:dyDescent="0.2">
      <c r="A15" s="47" t="s">
        <v>34</v>
      </c>
      <c r="B15" s="47" t="s">
        <v>35</v>
      </c>
      <c r="C15" s="51">
        <f t="shared" si="0"/>
        <v>5</v>
      </c>
      <c r="D15" s="72">
        <v>0</v>
      </c>
      <c r="E15" s="36"/>
      <c r="F15" s="72">
        <v>0</v>
      </c>
      <c r="G15" s="36"/>
      <c r="H15" s="72">
        <v>1</v>
      </c>
      <c r="I15" s="36" t="s">
        <v>265</v>
      </c>
      <c r="J15" s="72">
        <v>1</v>
      </c>
      <c r="K15" s="43" t="s">
        <v>265</v>
      </c>
      <c r="L15" s="72">
        <v>1</v>
      </c>
      <c r="M15" s="36" t="s">
        <v>265</v>
      </c>
      <c r="N15" s="72">
        <v>1</v>
      </c>
      <c r="O15" s="36" t="s">
        <v>265</v>
      </c>
      <c r="P15" s="72">
        <v>1</v>
      </c>
      <c r="Q15" s="37" t="s">
        <v>265</v>
      </c>
      <c r="R15" s="72">
        <v>0</v>
      </c>
      <c r="S15" s="37"/>
      <c r="T15" s="72"/>
      <c r="U15" s="39"/>
      <c r="V15" s="38"/>
      <c r="W15" s="72"/>
      <c r="X15" s="72"/>
      <c r="Y15" s="37"/>
      <c r="Z15" s="35"/>
      <c r="AA15" s="72"/>
      <c r="AB15" s="72"/>
      <c r="AC15" s="39"/>
      <c r="AD15" s="72"/>
      <c r="AE15" s="39"/>
      <c r="AF15" s="72"/>
      <c r="AG15" s="37"/>
      <c r="AH15" s="72"/>
      <c r="AI15" s="39"/>
      <c r="AJ15" s="72"/>
      <c r="AK15" s="39"/>
      <c r="AL15" s="72"/>
      <c r="AM15" s="39"/>
      <c r="AN15" s="38"/>
      <c r="AO15" s="72"/>
      <c r="AQ15" s="58" t="s">
        <v>262</v>
      </c>
      <c r="AR15" t="s">
        <v>263</v>
      </c>
    </row>
    <row r="16" spans="1:44" x14ac:dyDescent="0.2">
      <c r="A16" s="47" t="s">
        <v>36</v>
      </c>
      <c r="B16" s="47" t="s">
        <v>37</v>
      </c>
      <c r="C16" s="51">
        <f t="shared" si="0"/>
        <v>1</v>
      </c>
      <c r="D16" s="72">
        <v>0</v>
      </c>
      <c r="E16" s="36"/>
      <c r="F16" s="72">
        <v>0</v>
      </c>
      <c r="G16" s="36"/>
      <c r="H16" s="72">
        <v>0</v>
      </c>
      <c r="I16" s="36"/>
      <c r="J16" s="72">
        <v>0</v>
      </c>
      <c r="K16" s="43"/>
      <c r="L16" s="72">
        <v>0</v>
      </c>
      <c r="M16" s="36"/>
      <c r="N16" s="72">
        <v>0</v>
      </c>
      <c r="O16" s="36"/>
      <c r="P16" s="72">
        <v>0</v>
      </c>
      <c r="Q16" s="37"/>
      <c r="R16" s="72">
        <v>1</v>
      </c>
      <c r="S16" s="37" t="s">
        <v>324</v>
      </c>
      <c r="T16" s="72"/>
      <c r="U16" s="39"/>
      <c r="V16" s="38"/>
      <c r="W16" s="72"/>
      <c r="X16" s="72"/>
      <c r="Y16" s="37"/>
      <c r="Z16" s="35"/>
      <c r="AA16" s="72"/>
      <c r="AB16" s="72"/>
      <c r="AC16" s="39"/>
      <c r="AD16" s="72"/>
      <c r="AE16" s="39"/>
      <c r="AF16" s="72"/>
      <c r="AG16" s="37"/>
      <c r="AH16" s="72"/>
      <c r="AI16" s="39"/>
      <c r="AJ16" s="72"/>
      <c r="AK16" s="39"/>
      <c r="AL16" s="72"/>
      <c r="AM16" s="39"/>
      <c r="AN16" s="38"/>
      <c r="AO16" s="72"/>
      <c r="AQ16" s="58" t="s">
        <v>276</v>
      </c>
      <c r="AR16" t="s">
        <v>280</v>
      </c>
    </row>
    <row r="17" spans="1:44" x14ac:dyDescent="0.2">
      <c r="A17" s="47" t="s">
        <v>38</v>
      </c>
      <c r="B17" s="47" t="s">
        <v>20</v>
      </c>
      <c r="C17" s="51">
        <f t="shared" si="0"/>
        <v>3</v>
      </c>
      <c r="D17" s="98"/>
      <c r="E17" s="99"/>
      <c r="F17" s="72">
        <v>0</v>
      </c>
      <c r="G17" s="36"/>
      <c r="H17" s="72">
        <v>0</v>
      </c>
      <c r="I17" s="36"/>
      <c r="J17" s="72">
        <v>0</v>
      </c>
      <c r="K17" s="43"/>
      <c r="L17" s="72">
        <v>0</v>
      </c>
      <c r="M17" s="36"/>
      <c r="N17" s="72">
        <v>1</v>
      </c>
      <c r="O17" s="36" t="s">
        <v>266</v>
      </c>
      <c r="P17" s="72">
        <v>1</v>
      </c>
      <c r="Q17" s="37" t="s">
        <v>266</v>
      </c>
      <c r="R17" s="72">
        <v>1</v>
      </c>
      <c r="S17" s="37" t="s">
        <v>266</v>
      </c>
      <c r="T17" s="72"/>
      <c r="U17" s="39"/>
      <c r="V17" s="38"/>
      <c r="W17" s="72"/>
      <c r="X17" s="72"/>
      <c r="Y17" s="37"/>
      <c r="Z17" s="35"/>
      <c r="AA17" s="72"/>
      <c r="AB17" s="72"/>
      <c r="AC17" s="39"/>
      <c r="AD17" s="72"/>
      <c r="AE17" s="39"/>
      <c r="AF17" s="72"/>
      <c r="AG17" s="37"/>
      <c r="AH17" s="72"/>
      <c r="AI17" s="39"/>
      <c r="AJ17" s="72"/>
      <c r="AK17" s="39"/>
      <c r="AL17" s="72"/>
      <c r="AM17" s="39"/>
      <c r="AN17" s="38"/>
      <c r="AO17" s="72"/>
      <c r="AQ17" s="58" t="s">
        <v>320</v>
      </c>
      <c r="AR17" t="s">
        <v>321</v>
      </c>
    </row>
    <row r="18" spans="1:44" x14ac:dyDescent="0.2">
      <c r="A18" s="47" t="s">
        <v>39</v>
      </c>
      <c r="B18" s="47" t="s">
        <v>40</v>
      </c>
      <c r="C18" s="51">
        <f t="shared" si="0"/>
        <v>4</v>
      </c>
      <c r="D18" s="72">
        <v>1</v>
      </c>
      <c r="E18" s="36" t="s">
        <v>271</v>
      </c>
      <c r="F18" s="72">
        <v>0</v>
      </c>
      <c r="G18" s="36"/>
      <c r="H18" s="72">
        <v>0</v>
      </c>
      <c r="I18" s="36"/>
      <c r="J18" s="72">
        <v>1</v>
      </c>
      <c r="K18" s="43" t="s">
        <v>243</v>
      </c>
      <c r="L18" s="72">
        <v>1</v>
      </c>
      <c r="M18" s="36" t="s">
        <v>243</v>
      </c>
      <c r="N18" s="72">
        <v>0</v>
      </c>
      <c r="O18" s="36"/>
      <c r="P18" s="72">
        <v>0</v>
      </c>
      <c r="Q18" s="37"/>
      <c r="R18" s="72">
        <v>1</v>
      </c>
      <c r="S18" s="37" t="s">
        <v>243</v>
      </c>
      <c r="T18" s="72"/>
      <c r="U18" s="39"/>
      <c r="V18" s="38"/>
      <c r="W18" s="72"/>
      <c r="X18" s="72"/>
      <c r="Y18" s="37"/>
      <c r="Z18" s="35"/>
      <c r="AA18" s="72"/>
      <c r="AB18" s="72"/>
      <c r="AC18" s="39"/>
      <c r="AD18" s="72"/>
      <c r="AE18" s="39"/>
      <c r="AF18" s="72"/>
      <c r="AG18" s="37"/>
      <c r="AH18" s="72"/>
      <c r="AI18" s="39"/>
      <c r="AJ18" s="72"/>
      <c r="AK18" s="39"/>
      <c r="AL18" s="72"/>
      <c r="AM18" s="39"/>
      <c r="AN18" s="38"/>
      <c r="AO18" s="72"/>
      <c r="AQ18" s="58" t="s">
        <v>282</v>
      </c>
      <c r="AR18" t="s">
        <v>283</v>
      </c>
    </row>
    <row r="19" spans="1:44" ht="15.75" customHeight="1" x14ac:dyDescent="0.2">
      <c r="A19" s="47" t="s">
        <v>41</v>
      </c>
      <c r="B19" s="47" t="s">
        <v>25</v>
      </c>
      <c r="C19" s="51">
        <f t="shared" si="0"/>
        <v>5</v>
      </c>
      <c r="D19" s="98"/>
      <c r="E19" s="99"/>
      <c r="F19" s="98"/>
      <c r="G19" s="99"/>
      <c r="H19" s="72">
        <v>0</v>
      </c>
      <c r="I19" s="36"/>
      <c r="J19" s="72">
        <v>1</v>
      </c>
      <c r="K19" s="43" t="s">
        <v>274</v>
      </c>
      <c r="L19" s="72">
        <v>1</v>
      </c>
      <c r="M19" s="43" t="s">
        <v>274</v>
      </c>
      <c r="N19" s="72">
        <v>1</v>
      </c>
      <c r="O19" s="43" t="s">
        <v>274</v>
      </c>
      <c r="P19" s="72">
        <v>1</v>
      </c>
      <c r="Q19" s="43" t="s">
        <v>274</v>
      </c>
      <c r="R19" s="72">
        <v>1</v>
      </c>
      <c r="S19" s="37" t="s">
        <v>274</v>
      </c>
      <c r="T19" s="72"/>
      <c r="U19" s="39"/>
      <c r="V19" s="38"/>
      <c r="W19" s="72"/>
      <c r="X19" s="72"/>
      <c r="Y19" s="37"/>
      <c r="Z19" s="35"/>
      <c r="AA19" s="72"/>
      <c r="AB19" s="72"/>
      <c r="AC19" s="39"/>
      <c r="AD19" s="72"/>
      <c r="AE19" s="39"/>
      <c r="AF19" s="72"/>
      <c r="AG19" s="37"/>
      <c r="AH19" s="72"/>
      <c r="AI19" s="39"/>
      <c r="AJ19" s="72"/>
      <c r="AK19" s="39"/>
      <c r="AL19" s="72"/>
      <c r="AM19" s="39"/>
      <c r="AN19" s="38"/>
      <c r="AO19" s="72"/>
      <c r="AQ19" s="58" t="s">
        <v>286</v>
      </c>
      <c r="AR19" t="s">
        <v>285</v>
      </c>
    </row>
    <row r="20" spans="1:44" x14ac:dyDescent="0.2">
      <c r="A20" s="47" t="s">
        <v>44</v>
      </c>
      <c r="B20" s="47" t="s">
        <v>45</v>
      </c>
      <c r="C20" s="51">
        <f t="shared" si="0"/>
        <v>5</v>
      </c>
      <c r="D20" s="72">
        <v>0</v>
      </c>
      <c r="E20" s="36"/>
      <c r="F20" s="72">
        <v>0</v>
      </c>
      <c r="G20" s="36"/>
      <c r="H20" s="72">
        <v>0</v>
      </c>
      <c r="I20" s="36"/>
      <c r="J20" s="72">
        <v>1</v>
      </c>
      <c r="K20" s="43" t="s">
        <v>246</v>
      </c>
      <c r="L20" s="72">
        <v>1</v>
      </c>
      <c r="M20" s="36" t="s">
        <v>246</v>
      </c>
      <c r="N20" s="72">
        <v>1</v>
      </c>
      <c r="O20" s="36" t="s">
        <v>246</v>
      </c>
      <c r="P20" s="72">
        <v>1</v>
      </c>
      <c r="Q20" s="37" t="s">
        <v>246</v>
      </c>
      <c r="R20" s="72">
        <v>1</v>
      </c>
      <c r="S20" s="37" t="s">
        <v>246</v>
      </c>
      <c r="T20" s="72"/>
      <c r="U20" s="39"/>
      <c r="V20" s="38"/>
      <c r="W20" s="72"/>
      <c r="X20" s="72"/>
      <c r="Y20" s="37"/>
      <c r="Z20" s="35"/>
      <c r="AA20" s="72"/>
      <c r="AB20" s="72"/>
      <c r="AC20" s="39"/>
      <c r="AD20" s="72"/>
      <c r="AE20" s="39"/>
      <c r="AF20" s="72"/>
      <c r="AG20" s="37"/>
      <c r="AH20" s="72"/>
      <c r="AI20" s="39"/>
      <c r="AJ20" s="72"/>
      <c r="AK20" s="39"/>
      <c r="AL20" s="72"/>
      <c r="AM20" s="39"/>
      <c r="AN20" s="38"/>
      <c r="AO20" s="72"/>
      <c r="AQ20" s="58" t="s">
        <v>258</v>
      </c>
      <c r="AR20" t="s">
        <v>259</v>
      </c>
    </row>
    <row r="21" spans="1:44" ht="15.75" customHeight="1" x14ac:dyDescent="0.2">
      <c r="A21" s="47" t="s">
        <v>46</v>
      </c>
      <c r="B21" s="47" t="s">
        <v>17</v>
      </c>
      <c r="C21" s="51">
        <f t="shared" si="0"/>
        <v>7</v>
      </c>
      <c r="D21" s="72">
        <v>1</v>
      </c>
      <c r="E21" s="36" t="s">
        <v>275</v>
      </c>
      <c r="F21" s="72">
        <v>0</v>
      </c>
      <c r="G21" s="36"/>
      <c r="H21" s="72">
        <v>1</v>
      </c>
      <c r="I21" s="36" t="s">
        <v>275</v>
      </c>
      <c r="J21" s="72">
        <v>1</v>
      </c>
      <c r="K21" s="36" t="s">
        <v>275</v>
      </c>
      <c r="L21" s="72">
        <v>1</v>
      </c>
      <c r="M21" s="36" t="s">
        <v>275</v>
      </c>
      <c r="N21" s="72">
        <v>1</v>
      </c>
      <c r="O21" s="36" t="s">
        <v>275</v>
      </c>
      <c r="P21" s="72">
        <v>1</v>
      </c>
      <c r="Q21" s="36" t="s">
        <v>275</v>
      </c>
      <c r="R21" s="72">
        <v>1</v>
      </c>
      <c r="S21" s="36" t="s">
        <v>275</v>
      </c>
      <c r="T21" s="72"/>
      <c r="U21" s="39"/>
      <c r="V21" s="38"/>
      <c r="W21" s="72"/>
      <c r="X21" s="72"/>
      <c r="Y21" s="37"/>
      <c r="Z21" s="35"/>
      <c r="AA21" s="72"/>
      <c r="AB21" s="72"/>
      <c r="AC21" s="39"/>
      <c r="AD21" s="72"/>
      <c r="AE21" s="39"/>
      <c r="AF21" s="72"/>
      <c r="AG21" s="37"/>
      <c r="AH21" s="72"/>
      <c r="AI21" s="39"/>
      <c r="AJ21" s="72"/>
      <c r="AK21" s="39"/>
      <c r="AL21" s="72"/>
      <c r="AM21" s="39"/>
      <c r="AN21" s="38"/>
      <c r="AO21" s="72"/>
      <c r="AQ21" s="58" t="s">
        <v>240</v>
      </c>
      <c r="AR21" t="s">
        <v>247</v>
      </c>
    </row>
    <row r="22" spans="1:44" x14ac:dyDescent="0.2">
      <c r="A22" s="47" t="s">
        <v>47</v>
      </c>
      <c r="B22" s="47" t="s">
        <v>48</v>
      </c>
      <c r="C22" s="51">
        <f t="shared" si="0"/>
        <v>3</v>
      </c>
      <c r="D22" s="72">
        <v>0</v>
      </c>
      <c r="E22" s="36"/>
      <c r="F22" s="72">
        <v>0</v>
      </c>
      <c r="G22" s="36"/>
      <c r="H22" s="72">
        <v>0</v>
      </c>
      <c r="I22" s="36"/>
      <c r="J22" s="72">
        <v>0</v>
      </c>
      <c r="K22" s="43"/>
      <c r="L22" s="72">
        <v>0</v>
      </c>
      <c r="M22" s="36"/>
      <c r="N22" s="72">
        <v>1</v>
      </c>
      <c r="O22" s="36" t="s">
        <v>276</v>
      </c>
      <c r="P22" s="72">
        <v>1</v>
      </c>
      <c r="Q22" s="37" t="s">
        <v>276</v>
      </c>
      <c r="R22" s="72">
        <v>1</v>
      </c>
      <c r="S22" s="37" t="s">
        <v>276</v>
      </c>
      <c r="T22" s="72"/>
      <c r="U22" s="39"/>
      <c r="V22" s="38"/>
      <c r="W22" s="72"/>
      <c r="X22" s="72"/>
      <c r="Y22" s="37"/>
      <c r="Z22" s="35"/>
      <c r="AA22" s="72"/>
      <c r="AB22" s="72"/>
      <c r="AC22" s="39"/>
      <c r="AD22" s="72"/>
      <c r="AE22" s="39"/>
      <c r="AF22" s="72"/>
      <c r="AG22" s="37"/>
      <c r="AH22" s="72"/>
      <c r="AI22" s="39"/>
      <c r="AJ22" s="72"/>
      <c r="AK22" s="39"/>
      <c r="AL22" s="72"/>
      <c r="AM22" s="39"/>
      <c r="AN22" s="38"/>
      <c r="AO22" s="72"/>
      <c r="AQ22" s="58" t="s">
        <v>312</v>
      </c>
      <c r="AR22" t="s">
        <v>215</v>
      </c>
    </row>
    <row r="23" spans="1:44" x14ac:dyDescent="0.2">
      <c r="A23" s="47" t="s">
        <v>49</v>
      </c>
      <c r="B23" s="47" t="s">
        <v>50</v>
      </c>
      <c r="C23" s="51">
        <f t="shared" si="0"/>
        <v>0</v>
      </c>
      <c r="D23" s="72">
        <v>0</v>
      </c>
      <c r="E23" s="36"/>
      <c r="F23" s="72">
        <v>0</v>
      </c>
      <c r="G23" s="36"/>
      <c r="H23" s="72">
        <v>0</v>
      </c>
      <c r="I23" s="36"/>
      <c r="J23" s="72">
        <v>0</v>
      </c>
      <c r="K23" s="43"/>
      <c r="L23" s="72">
        <v>0</v>
      </c>
      <c r="M23" s="36"/>
      <c r="N23" s="72">
        <v>0</v>
      </c>
      <c r="O23" s="36"/>
      <c r="P23" s="72">
        <v>0</v>
      </c>
      <c r="Q23" s="37"/>
      <c r="R23" s="72">
        <v>0</v>
      </c>
      <c r="S23" s="37"/>
      <c r="T23" s="72"/>
      <c r="U23" s="39"/>
      <c r="V23" s="38"/>
      <c r="W23" s="72"/>
      <c r="X23" s="72"/>
      <c r="Y23" s="37"/>
      <c r="Z23" s="35"/>
      <c r="AA23" s="72"/>
      <c r="AB23" s="72"/>
      <c r="AC23" s="39"/>
      <c r="AD23" s="72"/>
      <c r="AE23" s="39"/>
      <c r="AF23" s="72"/>
      <c r="AG23" s="37"/>
      <c r="AH23" s="72"/>
      <c r="AI23" s="39"/>
      <c r="AJ23" s="72"/>
      <c r="AK23" s="39"/>
      <c r="AL23" s="72"/>
      <c r="AM23" s="39"/>
      <c r="AN23" s="38"/>
      <c r="AO23" s="72"/>
      <c r="AQ23" s="58" t="s">
        <v>304</v>
      </c>
      <c r="AR23" t="s">
        <v>305</v>
      </c>
    </row>
    <row r="24" spans="1:44" x14ac:dyDescent="0.2">
      <c r="A24" s="47" t="s">
        <v>51</v>
      </c>
      <c r="B24" s="47" t="s">
        <v>52</v>
      </c>
      <c r="C24" s="51">
        <f t="shared" si="0"/>
        <v>3</v>
      </c>
      <c r="D24" s="72">
        <v>1</v>
      </c>
      <c r="E24" s="36" t="s">
        <v>277</v>
      </c>
      <c r="F24" s="72">
        <v>1</v>
      </c>
      <c r="G24" s="36" t="s">
        <v>277</v>
      </c>
      <c r="H24" s="72">
        <v>0</v>
      </c>
      <c r="I24" s="36"/>
      <c r="J24" s="72">
        <v>0</v>
      </c>
      <c r="K24" s="43"/>
      <c r="L24" s="72">
        <v>0</v>
      </c>
      <c r="M24" s="36"/>
      <c r="N24" s="72">
        <v>0</v>
      </c>
      <c r="O24" s="36"/>
      <c r="P24" s="72">
        <v>0</v>
      </c>
      <c r="Q24" s="37"/>
      <c r="R24" s="72">
        <v>1</v>
      </c>
      <c r="S24" s="37" t="s">
        <v>246</v>
      </c>
      <c r="T24" s="72"/>
      <c r="U24" s="39"/>
      <c r="V24" s="38"/>
      <c r="W24" s="72"/>
      <c r="X24" s="72"/>
      <c r="Y24" s="37"/>
      <c r="Z24" s="35"/>
      <c r="AA24" s="72"/>
      <c r="AB24" s="72"/>
      <c r="AC24" s="39"/>
      <c r="AD24" s="72"/>
      <c r="AE24" s="39"/>
      <c r="AF24" s="72"/>
      <c r="AG24" s="37"/>
      <c r="AH24" s="72"/>
      <c r="AI24" s="39"/>
      <c r="AJ24" s="72"/>
      <c r="AK24" s="39"/>
      <c r="AL24" s="72"/>
      <c r="AM24" s="39"/>
      <c r="AN24" s="38"/>
      <c r="AO24" s="72"/>
      <c r="AQ24" s="58" t="s">
        <v>271</v>
      </c>
      <c r="AR24" t="s">
        <v>272</v>
      </c>
    </row>
    <row r="25" spans="1:44" x14ac:dyDescent="0.2">
      <c r="A25" s="47" t="s">
        <v>54</v>
      </c>
      <c r="B25" s="47" t="s">
        <v>55</v>
      </c>
      <c r="C25" s="51">
        <f t="shared" si="0"/>
        <v>0</v>
      </c>
      <c r="D25" s="72">
        <v>0</v>
      </c>
      <c r="E25" s="36"/>
      <c r="F25" s="72">
        <v>0</v>
      </c>
      <c r="G25" s="36"/>
      <c r="H25" s="72">
        <v>0</v>
      </c>
      <c r="I25" s="36"/>
      <c r="J25" s="72">
        <v>0</v>
      </c>
      <c r="K25" s="43"/>
      <c r="L25" s="72">
        <v>0</v>
      </c>
      <c r="M25" s="36"/>
      <c r="N25" s="72">
        <v>0</v>
      </c>
      <c r="O25" s="36"/>
      <c r="P25" s="72">
        <v>0</v>
      </c>
      <c r="Q25" s="37"/>
      <c r="R25" s="72">
        <v>0</v>
      </c>
      <c r="S25" s="37"/>
      <c r="T25" s="72"/>
      <c r="U25" s="39"/>
      <c r="V25" s="38"/>
      <c r="W25" s="72"/>
      <c r="X25" s="72"/>
      <c r="Y25" s="37"/>
      <c r="Z25" s="35"/>
      <c r="AA25" s="72"/>
      <c r="AB25" s="72"/>
      <c r="AC25" s="39"/>
      <c r="AD25" s="72"/>
      <c r="AE25" s="39"/>
      <c r="AF25" s="72"/>
      <c r="AG25" s="37"/>
      <c r="AH25" s="72"/>
      <c r="AI25" s="39"/>
      <c r="AJ25" s="72"/>
      <c r="AK25" s="39"/>
      <c r="AL25" s="72"/>
      <c r="AM25" s="39"/>
      <c r="AN25" s="38"/>
      <c r="AO25" s="72"/>
      <c r="AQ25" s="58" t="s">
        <v>243</v>
      </c>
      <c r="AR25" t="s">
        <v>214</v>
      </c>
    </row>
    <row r="26" spans="1:44" x14ac:dyDescent="0.2">
      <c r="A26" s="47" t="s">
        <v>56</v>
      </c>
      <c r="B26" s="47" t="s">
        <v>9</v>
      </c>
      <c r="C26" s="51">
        <f t="shared" si="0"/>
        <v>3</v>
      </c>
      <c r="D26" s="72">
        <v>0</v>
      </c>
      <c r="E26" s="36"/>
      <c r="F26" s="72">
        <v>0</v>
      </c>
      <c r="G26" s="36"/>
      <c r="H26" s="72">
        <v>0</v>
      </c>
      <c r="I26" s="36"/>
      <c r="J26" s="72">
        <v>0</v>
      </c>
      <c r="K26" s="43"/>
      <c r="L26" s="72">
        <v>0</v>
      </c>
      <c r="M26" s="36"/>
      <c r="N26" s="72">
        <v>1</v>
      </c>
      <c r="O26" s="36" t="s">
        <v>282</v>
      </c>
      <c r="P26" s="72">
        <v>1</v>
      </c>
      <c r="Q26" s="37" t="s">
        <v>282</v>
      </c>
      <c r="R26" s="72">
        <v>1</v>
      </c>
      <c r="S26" s="37" t="s">
        <v>282</v>
      </c>
      <c r="T26" s="72"/>
      <c r="U26" s="39"/>
      <c r="V26" s="38"/>
      <c r="W26" s="72"/>
      <c r="X26" s="72"/>
      <c r="Y26" s="37"/>
      <c r="Z26" s="35"/>
      <c r="AA26" s="72"/>
      <c r="AB26" s="72"/>
      <c r="AC26" s="39"/>
      <c r="AD26" s="72"/>
      <c r="AE26" s="39"/>
      <c r="AF26" s="72"/>
      <c r="AG26" s="37"/>
      <c r="AH26" s="72"/>
      <c r="AI26" s="39"/>
      <c r="AJ26" s="72"/>
      <c r="AK26" s="39"/>
      <c r="AL26" s="72"/>
      <c r="AM26" s="39"/>
      <c r="AN26" s="38"/>
      <c r="AO26" s="72"/>
      <c r="AQ26" s="58" t="s">
        <v>287</v>
      </c>
      <c r="AR26" t="s">
        <v>288</v>
      </c>
    </row>
    <row r="27" spans="1:44" x14ac:dyDescent="0.2">
      <c r="A27" s="47" t="s">
        <v>57</v>
      </c>
      <c r="B27" s="47" t="s">
        <v>186</v>
      </c>
      <c r="C27" s="51">
        <f t="shared" si="0"/>
        <v>0</v>
      </c>
      <c r="D27" s="72">
        <v>0</v>
      </c>
      <c r="E27" s="36"/>
      <c r="F27" s="72">
        <v>0</v>
      </c>
      <c r="G27" s="36"/>
      <c r="H27" s="72">
        <v>0</v>
      </c>
      <c r="I27" s="36"/>
      <c r="J27" s="72">
        <v>0</v>
      </c>
      <c r="K27" s="43"/>
      <c r="L27" s="72">
        <v>0</v>
      </c>
      <c r="M27" s="36"/>
      <c r="N27" s="72">
        <v>0</v>
      </c>
      <c r="O27" s="36"/>
      <c r="P27" s="72">
        <v>0</v>
      </c>
      <c r="Q27" s="37"/>
      <c r="R27" s="72">
        <v>0</v>
      </c>
      <c r="S27" s="37"/>
      <c r="T27" s="72"/>
      <c r="U27" s="39"/>
      <c r="V27" s="38"/>
      <c r="W27" s="72"/>
      <c r="X27" s="72"/>
      <c r="Y27" s="37"/>
      <c r="Z27" s="35"/>
      <c r="AA27" s="72"/>
      <c r="AB27" s="72"/>
      <c r="AC27" s="39"/>
      <c r="AD27" s="72"/>
      <c r="AE27" s="39"/>
      <c r="AF27" s="72"/>
      <c r="AG27" s="37"/>
      <c r="AH27" s="72"/>
      <c r="AI27" s="39"/>
      <c r="AJ27" s="72"/>
      <c r="AK27" s="39"/>
      <c r="AL27" s="72"/>
      <c r="AM27" s="39"/>
      <c r="AN27" s="38"/>
      <c r="AO27" s="72"/>
      <c r="AQ27" s="58" t="s">
        <v>318</v>
      </c>
      <c r="AR27" t="s">
        <v>319</v>
      </c>
    </row>
    <row r="28" spans="1:44" x14ac:dyDescent="0.2">
      <c r="A28" s="47" t="s">
        <v>59</v>
      </c>
      <c r="B28" s="47" t="s">
        <v>60</v>
      </c>
      <c r="C28" s="51">
        <f t="shared" si="0"/>
        <v>0</v>
      </c>
      <c r="D28" s="98"/>
      <c r="E28" s="99"/>
      <c r="F28" s="98"/>
      <c r="G28" s="99"/>
      <c r="H28" s="98"/>
      <c r="I28" s="99"/>
      <c r="J28" s="98"/>
      <c r="K28" s="100"/>
      <c r="L28" s="98"/>
      <c r="M28" s="99"/>
      <c r="N28" s="98"/>
      <c r="O28" s="99"/>
      <c r="P28" s="98"/>
      <c r="Q28" s="101"/>
      <c r="R28" s="72">
        <v>0</v>
      </c>
      <c r="S28" s="37"/>
      <c r="T28" s="72"/>
      <c r="U28" s="39"/>
      <c r="V28" s="38"/>
      <c r="W28" s="72"/>
      <c r="X28" s="72"/>
      <c r="Y28" s="37"/>
      <c r="Z28" s="35"/>
      <c r="AA28" s="72"/>
      <c r="AB28" s="72"/>
      <c r="AC28" s="39"/>
      <c r="AD28" s="72"/>
      <c r="AE28" s="39"/>
      <c r="AF28" s="72"/>
      <c r="AG28" s="37"/>
      <c r="AH28" s="72"/>
      <c r="AI28" s="39"/>
      <c r="AJ28" s="72"/>
      <c r="AK28" s="39"/>
      <c r="AL28" s="72"/>
      <c r="AM28" s="39"/>
      <c r="AN28" s="38"/>
      <c r="AO28" s="72"/>
      <c r="AQ28" s="58" t="s">
        <v>265</v>
      </c>
      <c r="AR28" t="s">
        <v>216</v>
      </c>
    </row>
    <row r="29" spans="1:44" x14ac:dyDescent="0.2">
      <c r="A29" s="47" t="s">
        <v>61</v>
      </c>
      <c r="B29" s="47" t="s">
        <v>62</v>
      </c>
      <c r="C29" s="51">
        <f t="shared" si="0"/>
        <v>0</v>
      </c>
      <c r="D29" s="72">
        <v>0</v>
      </c>
      <c r="E29" s="36"/>
      <c r="F29" s="72">
        <v>0</v>
      </c>
      <c r="G29" s="36"/>
      <c r="H29" s="72">
        <v>0</v>
      </c>
      <c r="I29" s="36"/>
      <c r="J29" s="72">
        <v>0</v>
      </c>
      <c r="K29" s="43"/>
      <c r="L29" s="72">
        <v>0</v>
      </c>
      <c r="M29" s="36"/>
      <c r="N29" s="72">
        <v>0</v>
      </c>
      <c r="O29" s="36"/>
      <c r="P29" s="72">
        <v>0</v>
      </c>
      <c r="Q29" s="37"/>
      <c r="R29" s="72">
        <v>0</v>
      </c>
      <c r="S29" s="37"/>
      <c r="T29" s="72"/>
      <c r="U29" s="39"/>
      <c r="V29" s="38"/>
      <c r="W29" s="72"/>
      <c r="X29" s="72"/>
      <c r="Y29" s="37"/>
      <c r="Z29" s="35"/>
      <c r="AA29" s="72"/>
      <c r="AB29" s="72"/>
      <c r="AC29" s="39"/>
      <c r="AD29" s="72"/>
      <c r="AE29" s="39"/>
      <c r="AF29" s="72"/>
      <c r="AG29" s="37"/>
      <c r="AH29" s="72"/>
      <c r="AI29" s="39"/>
      <c r="AJ29" s="72"/>
      <c r="AK29" s="39"/>
      <c r="AL29" s="72"/>
      <c r="AM29" s="39"/>
      <c r="AN29" s="38"/>
      <c r="AO29" s="72"/>
      <c r="AQ29" s="58" t="s">
        <v>244</v>
      </c>
      <c r="AR29" t="s">
        <v>281</v>
      </c>
    </row>
    <row r="30" spans="1:44" x14ac:dyDescent="0.2">
      <c r="A30" s="47" t="s">
        <v>63</v>
      </c>
      <c r="B30" s="47" t="s">
        <v>25</v>
      </c>
      <c r="C30" s="51">
        <f t="shared" si="0"/>
        <v>0</v>
      </c>
      <c r="D30" s="98"/>
      <c r="E30" s="99"/>
      <c r="F30" s="98"/>
      <c r="G30" s="99"/>
      <c r="H30" s="98"/>
      <c r="I30" s="99"/>
      <c r="J30" s="98"/>
      <c r="K30" s="100"/>
      <c r="L30" s="98"/>
      <c r="M30" s="99"/>
      <c r="N30" s="98"/>
      <c r="O30" s="99"/>
      <c r="P30" s="72">
        <v>0</v>
      </c>
      <c r="Q30" s="37"/>
      <c r="R30" s="72">
        <v>0</v>
      </c>
      <c r="S30" s="37"/>
      <c r="T30" s="72"/>
      <c r="U30" s="39"/>
      <c r="V30" s="38"/>
      <c r="W30" s="72"/>
      <c r="X30" s="72"/>
      <c r="Y30" s="37"/>
      <c r="Z30" s="35"/>
      <c r="AA30" s="72"/>
      <c r="AB30" s="72"/>
      <c r="AC30" s="39"/>
      <c r="AD30" s="72"/>
      <c r="AE30" s="39"/>
      <c r="AF30" s="72"/>
      <c r="AG30" s="37"/>
      <c r="AH30" s="72"/>
      <c r="AI30" s="39"/>
      <c r="AJ30" s="72"/>
      <c r="AK30" s="39"/>
      <c r="AL30" s="72"/>
      <c r="AM30" s="39"/>
      <c r="AN30" s="38"/>
      <c r="AO30" s="72"/>
      <c r="AQ30" s="58" t="s">
        <v>246</v>
      </c>
      <c r="AR30" t="s">
        <v>217</v>
      </c>
    </row>
    <row r="31" spans="1:44" x14ac:dyDescent="0.2">
      <c r="A31" s="47" t="s">
        <v>64</v>
      </c>
      <c r="B31" s="47" t="s">
        <v>65</v>
      </c>
      <c r="C31" s="51">
        <f t="shared" si="0"/>
        <v>0</v>
      </c>
      <c r="D31" s="98"/>
      <c r="E31" s="99"/>
      <c r="F31" s="98"/>
      <c r="G31" s="99"/>
      <c r="H31" s="72">
        <v>0</v>
      </c>
      <c r="I31" s="36"/>
      <c r="J31" s="72">
        <v>0</v>
      </c>
      <c r="K31" s="43"/>
      <c r="L31" s="72">
        <v>0</v>
      </c>
      <c r="M31" s="36"/>
      <c r="N31" s="72">
        <v>0</v>
      </c>
      <c r="O31" s="36"/>
      <c r="P31" s="72">
        <v>0</v>
      </c>
      <c r="Q31" s="37"/>
      <c r="R31" s="72">
        <v>0</v>
      </c>
      <c r="S31" s="37"/>
      <c r="T31" s="72"/>
      <c r="U31" s="39"/>
      <c r="V31" s="38"/>
      <c r="W31" s="72"/>
      <c r="X31" s="72"/>
      <c r="Y31" s="37"/>
      <c r="Z31" s="35"/>
      <c r="AA31" s="72"/>
      <c r="AB31" s="72"/>
      <c r="AC31" s="39"/>
      <c r="AD31" s="72"/>
      <c r="AE31" s="39"/>
      <c r="AF31" s="72"/>
      <c r="AG31" s="37"/>
      <c r="AH31" s="72"/>
      <c r="AI31" s="39"/>
      <c r="AJ31" s="72"/>
      <c r="AK31" s="39"/>
      <c r="AL31" s="72"/>
      <c r="AM31" s="39"/>
      <c r="AN31" s="38"/>
      <c r="AO31" s="72"/>
      <c r="AQ31" s="58" t="s">
        <v>322</v>
      </c>
      <c r="AR31" t="s">
        <v>323</v>
      </c>
    </row>
    <row r="32" spans="1:44" x14ac:dyDescent="0.2">
      <c r="A32" s="47" t="s">
        <v>68</v>
      </c>
      <c r="B32" s="47" t="s">
        <v>69</v>
      </c>
      <c r="C32" s="51">
        <f t="shared" si="0"/>
        <v>0</v>
      </c>
      <c r="D32" s="98"/>
      <c r="E32" s="99"/>
      <c r="F32" s="98"/>
      <c r="G32" s="99"/>
      <c r="H32" s="98"/>
      <c r="I32" s="99"/>
      <c r="J32" s="98"/>
      <c r="K32" s="100"/>
      <c r="L32" s="72">
        <v>0</v>
      </c>
      <c r="M32" s="36"/>
      <c r="N32" s="72">
        <v>0</v>
      </c>
      <c r="O32" s="36"/>
      <c r="P32" s="72">
        <v>0</v>
      </c>
      <c r="Q32" s="37"/>
      <c r="R32" s="72">
        <v>0</v>
      </c>
      <c r="S32" s="37"/>
      <c r="T32" s="72"/>
      <c r="U32" s="39"/>
      <c r="V32" s="38"/>
      <c r="W32" s="72"/>
      <c r="X32" s="72"/>
      <c r="Y32" s="37"/>
      <c r="Z32" s="35"/>
      <c r="AA32" s="72"/>
      <c r="AB32" s="72"/>
      <c r="AC32" s="39"/>
      <c r="AD32" s="72"/>
      <c r="AE32" s="39"/>
      <c r="AF32" s="72"/>
      <c r="AG32" s="37"/>
      <c r="AH32" s="72"/>
      <c r="AI32" s="39"/>
      <c r="AJ32" s="72"/>
      <c r="AK32" s="39"/>
      <c r="AL32" s="72"/>
      <c r="AM32" s="39"/>
      <c r="AN32" s="38"/>
      <c r="AO32" s="72"/>
      <c r="AQ32" s="58" t="s">
        <v>299</v>
      </c>
      <c r="AR32" t="s">
        <v>300</v>
      </c>
    </row>
    <row r="33" spans="1:44" x14ac:dyDescent="0.2">
      <c r="A33" s="47" t="s">
        <v>70</v>
      </c>
      <c r="B33" s="47" t="s">
        <v>71</v>
      </c>
      <c r="C33" s="51">
        <f t="shared" si="0"/>
        <v>1</v>
      </c>
      <c r="D33" s="72">
        <v>1</v>
      </c>
      <c r="E33" s="36" t="s">
        <v>286</v>
      </c>
      <c r="F33" s="72">
        <v>0</v>
      </c>
      <c r="G33" s="36"/>
      <c r="H33" s="72">
        <v>0</v>
      </c>
      <c r="I33" s="36"/>
      <c r="J33" s="72">
        <v>0</v>
      </c>
      <c r="K33" s="43"/>
      <c r="L33" s="72">
        <v>0</v>
      </c>
      <c r="M33" s="36"/>
      <c r="N33" s="98"/>
      <c r="O33" s="99"/>
      <c r="P33" s="72">
        <v>0</v>
      </c>
      <c r="Q33" s="37"/>
      <c r="R33" s="72">
        <v>0</v>
      </c>
      <c r="S33" s="37"/>
      <c r="T33" s="72"/>
      <c r="U33" s="39"/>
      <c r="V33" s="38"/>
      <c r="W33" s="72"/>
      <c r="X33" s="72"/>
      <c r="Y33" s="37"/>
      <c r="Z33" s="35"/>
      <c r="AA33" s="72"/>
      <c r="AB33" s="72"/>
      <c r="AC33" s="39"/>
      <c r="AD33" s="72"/>
      <c r="AE33" s="39"/>
      <c r="AF33" s="72"/>
      <c r="AG33" s="37"/>
      <c r="AH33" s="72"/>
      <c r="AI33" s="39"/>
      <c r="AJ33" s="72"/>
      <c r="AK33" s="39"/>
      <c r="AL33" s="72"/>
      <c r="AM33" s="39"/>
      <c r="AN33" s="38"/>
      <c r="AO33" s="72"/>
      <c r="AQ33" s="58" t="s">
        <v>253</v>
      </c>
      <c r="AR33" t="s">
        <v>254</v>
      </c>
    </row>
    <row r="34" spans="1:44" x14ac:dyDescent="0.2">
      <c r="A34" s="47" t="s">
        <v>72</v>
      </c>
      <c r="B34" s="47" t="s">
        <v>73</v>
      </c>
      <c r="C34" s="51">
        <f t="shared" si="0"/>
        <v>5</v>
      </c>
      <c r="D34" s="72">
        <v>0</v>
      </c>
      <c r="E34" s="36"/>
      <c r="F34" s="72">
        <v>0</v>
      </c>
      <c r="G34" s="36"/>
      <c r="H34" s="72">
        <v>1</v>
      </c>
      <c r="I34" s="36" t="s">
        <v>287</v>
      </c>
      <c r="J34" s="72">
        <v>1</v>
      </c>
      <c r="K34" s="43" t="s">
        <v>287</v>
      </c>
      <c r="L34" s="72">
        <v>1</v>
      </c>
      <c r="M34" s="36" t="s">
        <v>287</v>
      </c>
      <c r="N34" s="72">
        <v>0</v>
      </c>
      <c r="O34" s="36"/>
      <c r="P34" s="72">
        <v>1</v>
      </c>
      <c r="Q34" s="37" t="s">
        <v>271</v>
      </c>
      <c r="R34" s="72">
        <v>1</v>
      </c>
      <c r="S34" s="37" t="s">
        <v>271</v>
      </c>
      <c r="T34" s="72"/>
      <c r="U34" s="39"/>
      <c r="V34" s="38"/>
      <c r="W34" s="72"/>
      <c r="X34" s="72"/>
      <c r="Y34" s="37"/>
      <c r="Z34" s="35"/>
      <c r="AA34" s="72"/>
      <c r="AB34" s="72"/>
      <c r="AC34" s="39"/>
      <c r="AD34" s="72"/>
      <c r="AE34" s="39"/>
      <c r="AF34" s="72"/>
      <c r="AG34" s="37"/>
      <c r="AH34" s="72"/>
      <c r="AI34" s="39"/>
      <c r="AJ34" s="72"/>
      <c r="AK34" s="39"/>
      <c r="AL34" s="72"/>
      <c r="AM34" s="39"/>
      <c r="AN34" s="38"/>
      <c r="AO34" s="72"/>
      <c r="AQ34" s="58" t="s">
        <v>260</v>
      </c>
      <c r="AR34" t="s">
        <v>261</v>
      </c>
    </row>
    <row r="35" spans="1:44" x14ac:dyDescent="0.2">
      <c r="A35" s="47" t="s">
        <v>74</v>
      </c>
      <c r="B35" s="47" t="s">
        <v>23</v>
      </c>
      <c r="C35" s="51">
        <f>SUM(D35+F35+H35+J35+L35+N35+P35+R35+T35+V35+X35+Z35+AB35+AD35+AF35+AH35+AJ35+AL35+AN35)</f>
        <v>8</v>
      </c>
      <c r="D35" s="72">
        <v>1</v>
      </c>
      <c r="E35" s="36" t="s">
        <v>289</v>
      </c>
      <c r="F35" s="72">
        <v>1</v>
      </c>
      <c r="G35" s="36" t="s">
        <v>289</v>
      </c>
      <c r="H35" s="72">
        <v>0</v>
      </c>
      <c r="I35" s="36" t="s">
        <v>289</v>
      </c>
      <c r="J35" s="72">
        <v>1</v>
      </c>
      <c r="K35" s="43" t="s">
        <v>289</v>
      </c>
      <c r="L35" s="72">
        <v>1</v>
      </c>
      <c r="M35" s="36" t="s">
        <v>289</v>
      </c>
      <c r="N35" s="72">
        <v>2</v>
      </c>
      <c r="O35" s="36" t="s">
        <v>291</v>
      </c>
      <c r="P35" s="72">
        <v>1</v>
      </c>
      <c r="Q35" s="37" t="s">
        <v>289</v>
      </c>
      <c r="R35" s="72">
        <v>1</v>
      </c>
      <c r="S35" s="37" t="s">
        <v>289</v>
      </c>
      <c r="T35" s="72"/>
      <c r="U35" s="39"/>
      <c r="V35" s="38"/>
      <c r="W35" s="72"/>
      <c r="X35" s="72"/>
      <c r="Y35" s="37"/>
      <c r="Z35" s="35"/>
      <c r="AA35" s="72"/>
      <c r="AB35" s="72"/>
      <c r="AC35" s="39"/>
      <c r="AD35" s="72"/>
      <c r="AE35" s="39"/>
      <c r="AF35" s="72"/>
      <c r="AG35" s="37"/>
      <c r="AH35" s="72"/>
      <c r="AI35" s="39"/>
      <c r="AJ35" s="72"/>
      <c r="AK35" s="39"/>
      <c r="AL35" s="72"/>
      <c r="AM35" s="39"/>
      <c r="AN35" s="38"/>
      <c r="AO35" s="72"/>
      <c r="AQ35" s="58" t="s">
        <v>324</v>
      </c>
      <c r="AR35" t="s">
        <v>325</v>
      </c>
    </row>
    <row r="36" spans="1:44" x14ac:dyDescent="0.2">
      <c r="A36" s="47" t="s">
        <v>77</v>
      </c>
      <c r="B36" s="47" t="s">
        <v>78</v>
      </c>
      <c r="C36" s="51">
        <f t="shared" si="0"/>
        <v>6</v>
      </c>
      <c r="D36" s="72">
        <v>0</v>
      </c>
      <c r="E36" s="36"/>
      <c r="F36" s="72">
        <v>1</v>
      </c>
      <c r="G36" s="36" t="s">
        <v>240</v>
      </c>
      <c r="H36" s="72">
        <v>1</v>
      </c>
      <c r="I36" s="36" t="s">
        <v>240</v>
      </c>
      <c r="J36" s="72">
        <v>1</v>
      </c>
      <c r="K36" s="43" t="s">
        <v>240</v>
      </c>
      <c r="L36" s="72">
        <v>1</v>
      </c>
      <c r="M36" s="36" t="s">
        <v>240</v>
      </c>
      <c r="N36" s="72">
        <v>1</v>
      </c>
      <c r="O36" s="36" t="s">
        <v>240</v>
      </c>
      <c r="P36" s="72">
        <v>1</v>
      </c>
      <c r="Q36" s="37" t="s">
        <v>240</v>
      </c>
      <c r="R36" s="72">
        <v>0</v>
      </c>
      <c r="S36" s="37"/>
      <c r="T36" s="72"/>
      <c r="U36" s="39"/>
      <c r="V36" s="38"/>
      <c r="W36" s="72"/>
      <c r="X36" s="72"/>
      <c r="Y36" s="37"/>
      <c r="Z36" s="35"/>
      <c r="AA36" s="72"/>
      <c r="AB36" s="72"/>
      <c r="AC36" s="39"/>
      <c r="AD36" s="72"/>
      <c r="AE36" s="39"/>
      <c r="AF36" s="72"/>
      <c r="AG36" s="37"/>
      <c r="AH36" s="72"/>
      <c r="AI36" s="39"/>
      <c r="AJ36" s="72"/>
      <c r="AK36" s="39"/>
      <c r="AL36" s="72"/>
      <c r="AM36" s="39"/>
      <c r="AN36" s="38"/>
      <c r="AO36" s="72"/>
      <c r="AQ36" s="58" t="s">
        <v>302</v>
      </c>
      <c r="AR36" t="s">
        <v>303</v>
      </c>
    </row>
    <row r="37" spans="1:44" x14ac:dyDescent="0.2">
      <c r="A37" s="47" t="s">
        <v>79</v>
      </c>
      <c r="B37" s="47" t="s">
        <v>80</v>
      </c>
      <c r="C37" s="51">
        <f t="shared" si="0"/>
        <v>5</v>
      </c>
      <c r="D37" s="98"/>
      <c r="E37" s="99"/>
      <c r="F37" s="72">
        <v>0</v>
      </c>
      <c r="G37" s="36"/>
      <c r="H37" s="72">
        <v>0</v>
      </c>
      <c r="I37" s="36"/>
      <c r="J37" s="72">
        <v>1</v>
      </c>
      <c r="K37" s="43" t="s">
        <v>294</v>
      </c>
      <c r="L37" s="72">
        <v>1</v>
      </c>
      <c r="M37" s="36" t="s">
        <v>294</v>
      </c>
      <c r="N37" s="72">
        <v>1</v>
      </c>
      <c r="O37" s="36" t="s">
        <v>294</v>
      </c>
      <c r="P37" s="72">
        <v>1</v>
      </c>
      <c r="Q37" s="37" t="s">
        <v>294</v>
      </c>
      <c r="R37" s="72">
        <v>1</v>
      </c>
      <c r="S37" s="37" t="s">
        <v>294</v>
      </c>
      <c r="T37" s="72"/>
      <c r="U37" s="39"/>
      <c r="V37" s="38"/>
      <c r="W37" s="72"/>
      <c r="X37" s="72"/>
      <c r="Y37" s="37"/>
      <c r="Z37" s="35"/>
      <c r="AA37" s="72"/>
      <c r="AB37" s="72"/>
      <c r="AC37" s="39"/>
      <c r="AD37" s="72"/>
      <c r="AE37" s="39"/>
      <c r="AF37" s="72"/>
      <c r="AG37" s="37"/>
      <c r="AH37" s="72"/>
      <c r="AI37" s="39"/>
      <c r="AJ37" s="72"/>
      <c r="AK37" s="39"/>
      <c r="AL37" s="72"/>
      <c r="AM37" s="39"/>
      <c r="AN37" s="38"/>
      <c r="AO37" s="72"/>
      <c r="AQ37" s="58" t="s">
        <v>277</v>
      </c>
      <c r="AR37" t="s">
        <v>278</v>
      </c>
    </row>
    <row r="38" spans="1:44" x14ac:dyDescent="0.2">
      <c r="A38" s="47" t="s">
        <v>81</v>
      </c>
      <c r="B38" s="47" t="s">
        <v>82</v>
      </c>
      <c r="C38" s="51">
        <f t="shared" si="0"/>
        <v>7</v>
      </c>
      <c r="D38" s="72">
        <v>1</v>
      </c>
      <c r="E38" s="36" t="s">
        <v>282</v>
      </c>
      <c r="F38" s="72">
        <v>1</v>
      </c>
      <c r="G38" s="36" t="s">
        <v>282</v>
      </c>
      <c r="H38" s="72">
        <v>1</v>
      </c>
      <c r="I38" s="36" t="s">
        <v>282</v>
      </c>
      <c r="J38" s="72">
        <v>1</v>
      </c>
      <c r="K38" s="43" t="s">
        <v>282</v>
      </c>
      <c r="L38" s="72">
        <v>2</v>
      </c>
      <c r="M38" s="36" t="s">
        <v>296</v>
      </c>
      <c r="N38" s="72">
        <v>1</v>
      </c>
      <c r="O38" s="36" t="s">
        <v>297</v>
      </c>
      <c r="P38" s="72">
        <v>0</v>
      </c>
      <c r="Q38" s="37"/>
      <c r="R38" s="72">
        <v>0</v>
      </c>
      <c r="S38" s="37"/>
      <c r="T38" s="72"/>
      <c r="U38" s="39"/>
      <c r="V38" s="38"/>
      <c r="W38" s="72"/>
      <c r="X38" s="72"/>
      <c r="Y38" s="37"/>
      <c r="Z38" s="35"/>
      <c r="AA38" s="72"/>
      <c r="AB38" s="72"/>
      <c r="AC38" s="39"/>
      <c r="AD38" s="72"/>
      <c r="AE38" s="39"/>
      <c r="AF38" s="72"/>
      <c r="AG38" s="37"/>
      <c r="AH38" s="72"/>
      <c r="AI38" s="39"/>
      <c r="AJ38" s="72"/>
      <c r="AK38" s="39"/>
      <c r="AL38" s="72"/>
      <c r="AM38" s="39"/>
      <c r="AN38" s="38"/>
      <c r="AO38" s="72"/>
      <c r="AQ38" s="58" t="s">
        <v>274</v>
      </c>
      <c r="AR38" t="s">
        <v>273</v>
      </c>
    </row>
    <row r="39" spans="1:44" x14ac:dyDescent="0.2">
      <c r="A39" s="47" t="s">
        <v>83</v>
      </c>
      <c r="B39" s="47" t="s">
        <v>20</v>
      </c>
      <c r="C39" s="51">
        <f t="shared" si="0"/>
        <v>0</v>
      </c>
      <c r="D39" s="72">
        <v>0</v>
      </c>
      <c r="E39" s="36"/>
      <c r="F39" s="72">
        <v>0</v>
      </c>
      <c r="G39" s="36"/>
      <c r="H39" s="72">
        <v>0</v>
      </c>
      <c r="I39" s="36"/>
      <c r="J39" s="72">
        <v>0</v>
      </c>
      <c r="K39" s="43"/>
      <c r="L39" s="72">
        <v>0</v>
      </c>
      <c r="M39" s="36"/>
      <c r="N39" s="72">
        <v>0</v>
      </c>
      <c r="O39" s="36"/>
      <c r="P39" s="72">
        <v>0</v>
      </c>
      <c r="Q39" s="37"/>
      <c r="R39" s="72">
        <v>0</v>
      </c>
      <c r="S39" s="37"/>
      <c r="T39" s="72"/>
      <c r="U39" s="39"/>
      <c r="V39" s="38"/>
      <c r="W39" s="72"/>
      <c r="X39" s="72"/>
      <c r="Y39" s="37"/>
      <c r="Z39" s="35"/>
      <c r="AA39" s="72"/>
      <c r="AB39" s="72"/>
      <c r="AC39" s="39"/>
      <c r="AD39" s="72"/>
      <c r="AE39" s="39"/>
      <c r="AF39" s="72"/>
      <c r="AG39" s="37"/>
      <c r="AH39" s="72"/>
      <c r="AI39" s="39"/>
      <c r="AJ39" s="72"/>
      <c r="AK39" s="39"/>
      <c r="AL39" s="72"/>
      <c r="AM39" s="39"/>
      <c r="AN39" s="38"/>
      <c r="AO39" s="72"/>
      <c r="AQ39" s="58" t="s">
        <v>316</v>
      </c>
      <c r="AR39" t="s">
        <v>317</v>
      </c>
    </row>
    <row r="40" spans="1:44" x14ac:dyDescent="0.2">
      <c r="A40" s="47" t="s">
        <v>84</v>
      </c>
      <c r="B40" s="47" t="s">
        <v>20</v>
      </c>
      <c r="C40" s="51">
        <f t="shared" si="0"/>
        <v>0</v>
      </c>
      <c r="D40" s="98"/>
      <c r="E40" s="99"/>
      <c r="F40" s="98"/>
      <c r="G40" s="99"/>
      <c r="H40" s="98"/>
      <c r="I40" s="99"/>
      <c r="J40" s="98"/>
      <c r="K40" s="100"/>
      <c r="L40" s="98"/>
      <c r="M40" s="99"/>
      <c r="N40" s="98"/>
      <c r="O40" s="99"/>
      <c r="P40" s="98"/>
      <c r="Q40" s="101"/>
      <c r="R40" s="72">
        <v>0</v>
      </c>
      <c r="S40" s="37"/>
      <c r="T40" s="72"/>
      <c r="U40" s="39"/>
      <c r="V40" s="38"/>
      <c r="W40" s="72"/>
      <c r="X40" s="72"/>
      <c r="Y40" s="37"/>
      <c r="Z40" s="35"/>
      <c r="AA40" s="72"/>
      <c r="AB40" s="72"/>
      <c r="AC40" s="39"/>
      <c r="AD40" s="72"/>
      <c r="AE40" s="39"/>
      <c r="AF40" s="72"/>
      <c r="AG40" s="37"/>
      <c r="AH40" s="72"/>
      <c r="AI40" s="39"/>
      <c r="AJ40" s="72"/>
      <c r="AK40" s="39"/>
      <c r="AL40" s="72"/>
      <c r="AM40" s="39"/>
      <c r="AN40" s="38"/>
      <c r="AO40" s="72"/>
      <c r="AQ40" s="58" t="s">
        <v>326</v>
      </c>
      <c r="AR40" t="s">
        <v>327</v>
      </c>
    </row>
    <row r="41" spans="1:44" x14ac:dyDescent="0.2">
      <c r="A41" s="47" t="s">
        <v>85</v>
      </c>
      <c r="B41" s="47" t="s">
        <v>86</v>
      </c>
      <c r="C41" s="51">
        <f t="shared" si="0"/>
        <v>0</v>
      </c>
      <c r="D41" s="98"/>
      <c r="E41" s="99"/>
      <c r="F41" s="98"/>
      <c r="G41" s="99"/>
      <c r="H41" s="98"/>
      <c r="I41" s="99"/>
      <c r="J41" s="72">
        <v>0</v>
      </c>
      <c r="K41" s="43"/>
      <c r="L41" s="72">
        <v>0</v>
      </c>
      <c r="M41" s="36"/>
      <c r="N41" s="72">
        <v>0</v>
      </c>
      <c r="O41" s="36"/>
      <c r="P41" s="72">
        <v>0</v>
      </c>
      <c r="Q41" s="37"/>
      <c r="R41" s="72">
        <v>0</v>
      </c>
      <c r="S41" s="37"/>
      <c r="T41" s="72"/>
      <c r="U41" s="39"/>
      <c r="V41" s="38"/>
      <c r="W41" s="72"/>
      <c r="X41" s="72"/>
      <c r="Y41" s="37"/>
      <c r="Z41" s="35"/>
      <c r="AA41" s="72"/>
      <c r="AB41" s="72"/>
      <c r="AC41" s="39"/>
      <c r="AD41" s="72"/>
      <c r="AE41" s="39"/>
      <c r="AF41" s="72"/>
      <c r="AG41" s="37"/>
      <c r="AH41" s="72"/>
      <c r="AI41" s="39"/>
      <c r="AJ41" s="72"/>
      <c r="AK41" s="39"/>
      <c r="AL41" s="72"/>
      <c r="AM41" s="39"/>
      <c r="AN41" s="38"/>
      <c r="AO41" s="72"/>
      <c r="AQ41" s="58" t="s">
        <v>294</v>
      </c>
      <c r="AR41" t="s">
        <v>279</v>
      </c>
    </row>
    <row r="42" spans="1:44" x14ac:dyDescent="0.2">
      <c r="A42" s="47" t="s">
        <v>87</v>
      </c>
      <c r="B42" s="47" t="s">
        <v>88</v>
      </c>
      <c r="C42" s="51">
        <f t="shared" si="0"/>
        <v>0</v>
      </c>
      <c r="D42" s="98"/>
      <c r="E42" s="99"/>
      <c r="F42" s="98"/>
      <c r="G42" s="99"/>
      <c r="H42" s="98"/>
      <c r="I42" s="99"/>
      <c r="J42" s="98"/>
      <c r="K42" s="100"/>
      <c r="L42" s="98"/>
      <c r="M42" s="99"/>
      <c r="N42" s="98"/>
      <c r="O42" s="99"/>
      <c r="P42" s="72">
        <v>0</v>
      </c>
      <c r="Q42" s="37"/>
      <c r="R42" s="72">
        <v>0</v>
      </c>
      <c r="S42" s="37"/>
      <c r="T42" s="72"/>
      <c r="U42" s="39"/>
      <c r="V42" s="38"/>
      <c r="W42" s="72"/>
      <c r="X42" s="72"/>
      <c r="Y42" s="37"/>
      <c r="Z42" s="35"/>
      <c r="AA42" s="72"/>
      <c r="AB42" s="72"/>
      <c r="AC42" s="39"/>
      <c r="AD42" s="72"/>
      <c r="AE42" s="39"/>
      <c r="AF42" s="72"/>
      <c r="AG42" s="37"/>
      <c r="AH42" s="72"/>
      <c r="AI42" s="39"/>
      <c r="AJ42" s="72"/>
      <c r="AK42" s="39"/>
      <c r="AL42" s="72"/>
      <c r="AM42" s="39"/>
      <c r="AN42" s="38"/>
      <c r="AO42" s="72"/>
      <c r="AQ42" s="58" t="s">
        <v>307</v>
      </c>
      <c r="AR42" t="s">
        <v>308</v>
      </c>
    </row>
    <row r="43" spans="1:44" x14ac:dyDescent="0.2">
      <c r="A43" s="47" t="s">
        <v>89</v>
      </c>
      <c r="B43" s="47" t="s">
        <v>90</v>
      </c>
      <c r="C43" s="51">
        <f t="shared" si="0"/>
        <v>3</v>
      </c>
      <c r="D43" s="72">
        <v>1</v>
      </c>
      <c r="E43" s="36" t="s">
        <v>282</v>
      </c>
      <c r="F43" s="72">
        <v>1</v>
      </c>
      <c r="G43" s="36" t="s">
        <v>282</v>
      </c>
      <c r="H43" s="72">
        <v>1</v>
      </c>
      <c r="I43" s="36" t="s">
        <v>282</v>
      </c>
      <c r="J43" s="72">
        <v>0</v>
      </c>
      <c r="K43" s="43"/>
      <c r="L43" s="72">
        <v>0</v>
      </c>
      <c r="M43" s="36"/>
      <c r="N43" s="72">
        <v>0</v>
      </c>
      <c r="O43" s="36"/>
      <c r="P43" s="72">
        <v>0</v>
      </c>
      <c r="Q43" s="37"/>
      <c r="R43" s="72">
        <v>0</v>
      </c>
      <c r="S43" s="37"/>
      <c r="T43" s="72"/>
      <c r="U43" s="39"/>
      <c r="V43" s="38"/>
      <c r="W43" s="72"/>
      <c r="X43" s="72"/>
      <c r="Y43" s="37"/>
      <c r="Z43" s="35"/>
      <c r="AA43" s="72"/>
      <c r="AB43" s="72"/>
      <c r="AC43" s="39"/>
      <c r="AD43" s="72"/>
      <c r="AE43" s="39"/>
      <c r="AF43" s="72"/>
      <c r="AG43" s="37"/>
      <c r="AH43" s="72"/>
      <c r="AI43" s="39"/>
      <c r="AJ43" s="72"/>
      <c r="AK43" s="39"/>
      <c r="AL43" s="72"/>
      <c r="AM43" s="39"/>
      <c r="AN43" s="38"/>
      <c r="AO43" s="72"/>
      <c r="AQ43" s="58" t="s">
        <v>297</v>
      </c>
      <c r="AR43" t="s">
        <v>298</v>
      </c>
    </row>
    <row r="44" spans="1:44" x14ac:dyDescent="0.2">
      <c r="A44" s="47" t="s">
        <v>91</v>
      </c>
      <c r="B44" s="47" t="s">
        <v>92</v>
      </c>
      <c r="C44" s="51">
        <f t="shared" si="0"/>
        <v>10</v>
      </c>
      <c r="D44" s="72">
        <v>2</v>
      </c>
      <c r="E44" s="36" t="s">
        <v>301</v>
      </c>
      <c r="F44" s="72">
        <v>2</v>
      </c>
      <c r="G44" s="36" t="s">
        <v>301</v>
      </c>
      <c r="H44" s="72">
        <v>1</v>
      </c>
      <c r="I44" s="36" t="s">
        <v>299</v>
      </c>
      <c r="J44" s="72">
        <v>1</v>
      </c>
      <c r="K44" s="43" t="s">
        <v>299</v>
      </c>
      <c r="L44" s="72">
        <v>1</v>
      </c>
      <c r="M44" s="36" t="s">
        <v>299</v>
      </c>
      <c r="N44" s="72">
        <v>1</v>
      </c>
      <c r="O44" s="36" t="s">
        <v>299</v>
      </c>
      <c r="P44" s="72">
        <v>1</v>
      </c>
      <c r="Q44" s="37" t="s">
        <v>299</v>
      </c>
      <c r="R44" s="72">
        <v>1</v>
      </c>
      <c r="S44" s="37" t="s">
        <v>294</v>
      </c>
      <c r="T44" s="72"/>
      <c r="U44" s="39"/>
      <c r="V44" s="38"/>
      <c r="W44" s="72"/>
      <c r="X44" s="72"/>
      <c r="Y44" s="37"/>
      <c r="Z44" s="35"/>
      <c r="AA44" s="72"/>
      <c r="AB44" s="72"/>
      <c r="AC44" s="39"/>
      <c r="AD44" s="72"/>
      <c r="AE44" s="39"/>
      <c r="AF44" s="72"/>
      <c r="AG44" s="37"/>
      <c r="AH44" s="72"/>
      <c r="AI44" s="39"/>
      <c r="AJ44" s="72"/>
      <c r="AK44" s="39"/>
      <c r="AL44" s="72"/>
      <c r="AM44" s="39"/>
      <c r="AN44" s="38"/>
      <c r="AO44" s="72"/>
    </row>
    <row r="45" spans="1:44" x14ac:dyDescent="0.2">
      <c r="A45" s="47" t="s">
        <v>93</v>
      </c>
      <c r="B45" s="47" t="s">
        <v>94</v>
      </c>
      <c r="C45" s="51">
        <f t="shared" si="0"/>
        <v>2</v>
      </c>
      <c r="D45" s="72">
        <v>1</v>
      </c>
      <c r="E45" s="36" t="s">
        <v>258</v>
      </c>
      <c r="F45" s="72">
        <v>0</v>
      </c>
      <c r="G45" s="36"/>
      <c r="H45" s="72">
        <v>0</v>
      </c>
      <c r="I45" s="36"/>
      <c r="J45" s="72">
        <v>0</v>
      </c>
      <c r="K45" s="43"/>
      <c r="L45" s="72">
        <v>1</v>
      </c>
      <c r="M45" s="36" t="s">
        <v>302</v>
      </c>
      <c r="N45" s="72">
        <v>0</v>
      </c>
      <c r="O45" s="36"/>
      <c r="P45" s="72">
        <v>0</v>
      </c>
      <c r="Q45" s="37"/>
      <c r="R45" s="72">
        <v>0</v>
      </c>
      <c r="S45" s="37"/>
      <c r="T45" s="72"/>
      <c r="U45" s="39"/>
      <c r="V45" s="38"/>
      <c r="W45" s="72"/>
      <c r="X45" s="72"/>
      <c r="Y45" s="37"/>
      <c r="Z45" s="35"/>
      <c r="AA45" s="72"/>
      <c r="AB45" s="72"/>
      <c r="AC45" s="39"/>
      <c r="AD45" s="72"/>
      <c r="AE45" s="39"/>
      <c r="AF45" s="72"/>
      <c r="AG45" s="37"/>
      <c r="AH45" s="72"/>
      <c r="AI45" s="39"/>
      <c r="AJ45" s="72"/>
      <c r="AK45" s="39"/>
      <c r="AL45" s="72"/>
      <c r="AM45" s="39"/>
      <c r="AN45" s="38"/>
      <c r="AO45" s="72"/>
    </row>
    <row r="46" spans="1:44" x14ac:dyDescent="0.2">
      <c r="A46" s="47" t="s">
        <v>95</v>
      </c>
      <c r="B46" s="47" t="s">
        <v>96</v>
      </c>
      <c r="C46" s="51">
        <f t="shared" si="0"/>
        <v>0</v>
      </c>
      <c r="D46" s="72">
        <v>0</v>
      </c>
      <c r="E46" s="36"/>
      <c r="F46" s="72">
        <v>0</v>
      </c>
      <c r="G46" s="36"/>
      <c r="H46" s="72">
        <v>0</v>
      </c>
      <c r="I46" s="36"/>
      <c r="J46" s="72">
        <v>0</v>
      </c>
      <c r="K46" s="43"/>
      <c r="L46" s="72">
        <v>0</v>
      </c>
      <c r="M46" s="36"/>
      <c r="N46" s="72">
        <v>0</v>
      </c>
      <c r="O46" s="36"/>
      <c r="P46" s="72">
        <v>0</v>
      </c>
      <c r="Q46" s="37"/>
      <c r="R46" s="72">
        <v>0</v>
      </c>
      <c r="S46" s="37"/>
      <c r="T46" s="72"/>
      <c r="U46" s="39"/>
      <c r="V46" s="38"/>
      <c r="W46" s="72"/>
      <c r="X46" s="72"/>
      <c r="Y46" s="37"/>
      <c r="Z46" s="35"/>
      <c r="AA46" s="72"/>
      <c r="AB46" s="72"/>
      <c r="AC46" s="39"/>
      <c r="AD46" s="72"/>
      <c r="AE46" s="39"/>
      <c r="AF46" s="72"/>
      <c r="AG46" s="37"/>
      <c r="AH46" s="72"/>
      <c r="AI46" s="39"/>
      <c r="AJ46" s="72"/>
      <c r="AK46" s="39"/>
      <c r="AL46" s="72"/>
      <c r="AM46" s="39"/>
      <c r="AN46" s="38"/>
      <c r="AO46" s="72"/>
    </row>
    <row r="47" spans="1:44" x14ac:dyDescent="0.2">
      <c r="A47" s="47" t="s">
        <v>97</v>
      </c>
      <c r="B47" s="47" t="s">
        <v>92</v>
      </c>
      <c r="C47" s="51">
        <f t="shared" si="0"/>
        <v>4</v>
      </c>
      <c r="D47" s="72">
        <v>0</v>
      </c>
      <c r="E47" s="36"/>
      <c r="F47" s="72">
        <v>0</v>
      </c>
      <c r="G47" s="36"/>
      <c r="H47" s="72">
        <v>0</v>
      </c>
      <c r="I47" s="36"/>
      <c r="J47" s="72">
        <v>1</v>
      </c>
      <c r="K47" s="43" t="s">
        <v>253</v>
      </c>
      <c r="L47" s="72">
        <v>1</v>
      </c>
      <c r="M47" s="43" t="s">
        <v>253</v>
      </c>
      <c r="N47" s="72">
        <v>1</v>
      </c>
      <c r="O47" s="43" t="s">
        <v>253</v>
      </c>
      <c r="P47" s="72">
        <v>1</v>
      </c>
      <c r="Q47" s="43" t="s">
        <v>253</v>
      </c>
      <c r="R47" s="72">
        <v>0</v>
      </c>
      <c r="S47" s="37"/>
      <c r="T47" s="72"/>
      <c r="U47" s="39"/>
      <c r="V47" s="38"/>
      <c r="W47" s="72"/>
      <c r="X47" s="72"/>
      <c r="Y47" s="37"/>
      <c r="Z47" s="35"/>
      <c r="AA47" s="72"/>
      <c r="AB47" s="72"/>
      <c r="AC47" s="39"/>
      <c r="AD47" s="72"/>
      <c r="AE47" s="39"/>
      <c r="AF47" s="72"/>
      <c r="AG47" s="37"/>
      <c r="AH47" s="72"/>
      <c r="AI47" s="39"/>
      <c r="AJ47" s="72"/>
      <c r="AK47" s="39"/>
      <c r="AL47" s="72"/>
      <c r="AM47" s="39"/>
      <c r="AN47" s="38"/>
      <c r="AO47" s="72"/>
    </row>
    <row r="48" spans="1:44" x14ac:dyDescent="0.2">
      <c r="A48" s="47" t="s">
        <v>98</v>
      </c>
      <c r="B48" s="47" t="s">
        <v>99</v>
      </c>
      <c r="C48" s="51">
        <f t="shared" si="0"/>
        <v>4</v>
      </c>
      <c r="D48" s="72">
        <v>0</v>
      </c>
      <c r="E48" s="36"/>
      <c r="F48" s="72">
        <v>0</v>
      </c>
      <c r="G48" s="36"/>
      <c r="H48" s="72">
        <v>0</v>
      </c>
      <c r="I48" s="36"/>
      <c r="J48" s="72">
        <v>0</v>
      </c>
      <c r="K48" s="43"/>
      <c r="L48" s="72">
        <v>1</v>
      </c>
      <c r="M48" s="36" t="s">
        <v>302</v>
      </c>
      <c r="N48" s="72">
        <v>1</v>
      </c>
      <c r="O48" s="36" t="s">
        <v>302</v>
      </c>
      <c r="P48" s="72">
        <v>1</v>
      </c>
      <c r="Q48" s="36" t="s">
        <v>302</v>
      </c>
      <c r="R48" s="72">
        <v>1</v>
      </c>
      <c r="S48" s="37" t="s">
        <v>302</v>
      </c>
      <c r="T48" s="72"/>
      <c r="U48" s="39"/>
      <c r="V48" s="38"/>
      <c r="W48" s="72"/>
      <c r="X48" s="72"/>
      <c r="Y48" s="37"/>
      <c r="Z48" s="35"/>
      <c r="AA48" s="72"/>
      <c r="AB48" s="72"/>
      <c r="AC48" s="39"/>
      <c r="AD48" s="72"/>
      <c r="AE48" s="39"/>
      <c r="AF48" s="72"/>
      <c r="AG48" s="37"/>
      <c r="AH48" s="72"/>
      <c r="AI48" s="39"/>
      <c r="AJ48" s="72"/>
      <c r="AK48" s="39"/>
      <c r="AL48" s="72"/>
      <c r="AM48" s="39"/>
      <c r="AN48" s="38"/>
      <c r="AO48" s="72"/>
    </row>
    <row r="49" spans="1:41" x14ac:dyDescent="0.2">
      <c r="A49" s="47" t="s">
        <v>100</v>
      </c>
      <c r="B49" s="47" t="s">
        <v>101</v>
      </c>
      <c r="C49" s="51">
        <f t="shared" si="0"/>
        <v>1</v>
      </c>
      <c r="D49" s="98"/>
      <c r="E49" s="99"/>
      <c r="F49" s="98"/>
      <c r="G49" s="99"/>
      <c r="H49" s="98"/>
      <c r="I49" s="99"/>
      <c r="J49" s="98"/>
      <c r="K49" s="100"/>
      <c r="L49" s="98"/>
      <c r="M49" s="99"/>
      <c r="N49" s="72">
        <v>0</v>
      </c>
      <c r="O49" s="36"/>
      <c r="P49" s="72">
        <v>0</v>
      </c>
      <c r="Q49" s="37"/>
      <c r="R49" s="72">
        <v>1</v>
      </c>
      <c r="S49" s="37" t="s">
        <v>289</v>
      </c>
      <c r="T49" s="72"/>
      <c r="U49" s="39"/>
      <c r="V49" s="38"/>
      <c r="W49" s="72"/>
      <c r="X49" s="72"/>
      <c r="Y49" s="37"/>
      <c r="Z49" s="35"/>
      <c r="AA49" s="72"/>
      <c r="AB49" s="72"/>
      <c r="AC49" s="39"/>
      <c r="AD49" s="72"/>
      <c r="AE49" s="39"/>
      <c r="AF49" s="72"/>
      <c r="AG49" s="37"/>
      <c r="AH49" s="72"/>
      <c r="AI49" s="39"/>
      <c r="AJ49" s="72"/>
      <c r="AK49" s="39"/>
      <c r="AL49" s="72"/>
      <c r="AM49" s="39"/>
      <c r="AN49" s="38"/>
      <c r="AO49" s="72"/>
    </row>
    <row r="50" spans="1:41" x14ac:dyDescent="0.2">
      <c r="A50" s="47" t="s">
        <v>102</v>
      </c>
      <c r="B50" s="47" t="s">
        <v>103</v>
      </c>
      <c r="C50" s="51">
        <f t="shared" si="0"/>
        <v>0</v>
      </c>
      <c r="D50" s="98"/>
      <c r="E50" s="99"/>
      <c r="F50" s="98"/>
      <c r="G50" s="99"/>
      <c r="H50" s="72">
        <v>0</v>
      </c>
      <c r="I50" s="36"/>
      <c r="J50" s="72">
        <v>0</v>
      </c>
      <c r="K50" s="43"/>
      <c r="L50" s="72">
        <v>0</v>
      </c>
      <c r="M50" s="36"/>
      <c r="N50" s="72">
        <v>0</v>
      </c>
      <c r="O50" s="36"/>
      <c r="P50" s="72">
        <v>0</v>
      </c>
      <c r="Q50" s="37"/>
      <c r="R50" s="72">
        <v>0</v>
      </c>
      <c r="S50" s="37"/>
      <c r="T50" s="72"/>
      <c r="U50" s="39"/>
      <c r="V50" s="38"/>
      <c r="W50" s="72"/>
      <c r="X50" s="72"/>
      <c r="Y50" s="37"/>
      <c r="Z50" s="35"/>
      <c r="AA50" s="72"/>
      <c r="AB50" s="72"/>
      <c r="AC50" s="39"/>
      <c r="AD50" s="72"/>
      <c r="AE50" s="39"/>
      <c r="AF50" s="72"/>
      <c r="AG50" s="37"/>
      <c r="AH50" s="72"/>
      <c r="AI50" s="39"/>
      <c r="AJ50" s="72"/>
      <c r="AK50" s="39"/>
      <c r="AL50" s="72"/>
      <c r="AM50" s="39"/>
      <c r="AN50" s="38"/>
      <c r="AO50" s="72"/>
    </row>
    <row r="51" spans="1:41" x14ac:dyDescent="0.2">
      <c r="A51" s="47" t="s">
        <v>104</v>
      </c>
      <c r="B51" s="47" t="s">
        <v>105</v>
      </c>
      <c r="C51" s="51">
        <f t="shared" si="0"/>
        <v>6</v>
      </c>
      <c r="D51" s="98"/>
      <c r="E51" s="99"/>
      <c r="F51" s="72">
        <v>0</v>
      </c>
      <c r="G51" s="36"/>
      <c r="H51" s="72">
        <v>1</v>
      </c>
      <c r="I51" s="36" t="s">
        <v>304</v>
      </c>
      <c r="J51" s="72">
        <v>1</v>
      </c>
      <c r="K51" s="43" t="s">
        <v>304</v>
      </c>
      <c r="L51" s="72">
        <v>1</v>
      </c>
      <c r="M51" s="43" t="s">
        <v>304</v>
      </c>
      <c r="N51" s="72">
        <v>1</v>
      </c>
      <c r="O51" s="43" t="s">
        <v>304</v>
      </c>
      <c r="P51" s="72">
        <v>1</v>
      </c>
      <c r="Q51" s="43" t="s">
        <v>304</v>
      </c>
      <c r="R51" s="72">
        <v>1</v>
      </c>
      <c r="S51" s="37" t="s">
        <v>304</v>
      </c>
      <c r="T51" s="72"/>
      <c r="U51" s="39"/>
      <c r="V51" s="38"/>
      <c r="W51" s="72"/>
      <c r="X51" s="72"/>
      <c r="Y51" s="37"/>
      <c r="Z51" s="35"/>
      <c r="AA51" s="72"/>
      <c r="AB51" s="72"/>
      <c r="AC51" s="39"/>
      <c r="AD51" s="72"/>
      <c r="AE51" s="39"/>
      <c r="AF51" s="72"/>
      <c r="AG51" s="37"/>
      <c r="AH51" s="72"/>
      <c r="AI51" s="39"/>
      <c r="AJ51" s="72"/>
      <c r="AK51" s="39"/>
      <c r="AL51" s="72"/>
      <c r="AM51" s="39"/>
      <c r="AN51" s="38"/>
      <c r="AO51" s="72"/>
    </row>
    <row r="52" spans="1:41" x14ac:dyDescent="0.2">
      <c r="A52" s="47" t="s">
        <v>108</v>
      </c>
      <c r="B52" s="47" t="s">
        <v>109</v>
      </c>
      <c r="C52" s="51">
        <f t="shared" si="0"/>
        <v>0</v>
      </c>
      <c r="D52" s="98"/>
      <c r="E52" s="99"/>
      <c r="F52" s="98"/>
      <c r="G52" s="99"/>
      <c r="H52" s="98"/>
      <c r="I52" s="99"/>
      <c r="J52" s="98"/>
      <c r="K52" s="100"/>
      <c r="L52" s="98"/>
      <c r="M52" s="99"/>
      <c r="N52" s="72">
        <v>0</v>
      </c>
      <c r="O52" s="36"/>
      <c r="P52" s="72">
        <v>0</v>
      </c>
      <c r="Q52" s="37"/>
      <c r="R52" s="72">
        <v>0</v>
      </c>
      <c r="S52" s="37"/>
      <c r="T52" s="72"/>
      <c r="U52" s="39"/>
      <c r="V52" s="38"/>
      <c r="W52" s="72"/>
      <c r="X52" s="72"/>
      <c r="Y52" s="37"/>
      <c r="Z52" s="35"/>
      <c r="AA52" s="72"/>
      <c r="AB52" s="72"/>
      <c r="AC52" s="39"/>
      <c r="AD52" s="72"/>
      <c r="AE52" s="39"/>
      <c r="AF52" s="72"/>
      <c r="AG52" s="37"/>
      <c r="AH52" s="72"/>
      <c r="AI52" s="39"/>
      <c r="AJ52" s="72"/>
      <c r="AK52" s="39"/>
      <c r="AL52" s="72"/>
      <c r="AM52" s="39"/>
      <c r="AN52" s="38"/>
      <c r="AO52" s="72"/>
    </row>
    <row r="53" spans="1:41" x14ac:dyDescent="0.2">
      <c r="A53" s="47" t="s">
        <v>110</v>
      </c>
      <c r="B53" s="47" t="s">
        <v>53</v>
      </c>
      <c r="C53" s="51">
        <f t="shared" si="0"/>
        <v>1</v>
      </c>
      <c r="D53" s="98"/>
      <c r="E53" s="99"/>
      <c r="F53" s="98"/>
      <c r="G53" s="99"/>
      <c r="H53" s="98"/>
      <c r="I53" s="99"/>
      <c r="J53" s="98"/>
      <c r="K53" s="100"/>
      <c r="L53" s="98"/>
      <c r="M53" s="99"/>
      <c r="N53" s="98"/>
      <c r="O53" s="99"/>
      <c r="P53" s="72">
        <v>0</v>
      </c>
      <c r="Q53" s="37"/>
      <c r="R53" s="72">
        <v>1</v>
      </c>
      <c r="S53" s="37" t="s">
        <v>326</v>
      </c>
      <c r="T53" s="72"/>
      <c r="U53" s="39"/>
      <c r="V53" s="38"/>
      <c r="W53" s="72"/>
      <c r="X53" s="72"/>
      <c r="Y53" s="37"/>
      <c r="Z53" s="35"/>
      <c r="AA53" s="72"/>
      <c r="AB53" s="72"/>
      <c r="AC53" s="39"/>
      <c r="AD53" s="72"/>
      <c r="AE53" s="39"/>
      <c r="AF53" s="72"/>
      <c r="AG53" s="37"/>
      <c r="AH53" s="72"/>
      <c r="AI53" s="39"/>
      <c r="AJ53" s="72"/>
      <c r="AK53" s="39"/>
      <c r="AL53" s="72"/>
      <c r="AM53" s="39"/>
      <c r="AN53" s="38"/>
      <c r="AO53" s="72"/>
    </row>
    <row r="54" spans="1:41" x14ac:dyDescent="0.2">
      <c r="A54" s="47" t="s">
        <v>111</v>
      </c>
      <c r="B54" s="47" t="s">
        <v>76</v>
      </c>
      <c r="C54" s="51">
        <f t="shared" si="0"/>
        <v>0</v>
      </c>
      <c r="D54" s="72">
        <v>0</v>
      </c>
      <c r="E54" s="36"/>
      <c r="F54" s="72">
        <v>0</v>
      </c>
      <c r="G54" s="36"/>
      <c r="H54" s="72">
        <v>0</v>
      </c>
      <c r="I54" s="36"/>
      <c r="J54" s="72">
        <v>0</v>
      </c>
      <c r="K54" s="43"/>
      <c r="L54" s="72">
        <v>0</v>
      </c>
      <c r="M54" s="36"/>
      <c r="N54" s="72">
        <v>0</v>
      </c>
      <c r="O54" s="36"/>
      <c r="P54" s="72">
        <v>0</v>
      </c>
      <c r="Q54" s="37"/>
      <c r="R54" s="72">
        <v>0</v>
      </c>
      <c r="S54" s="37"/>
      <c r="T54" s="72"/>
      <c r="U54" s="39"/>
      <c r="V54" s="38"/>
      <c r="W54" s="72"/>
      <c r="X54" s="72"/>
      <c r="Y54" s="37"/>
      <c r="Z54" s="35"/>
      <c r="AA54" s="72"/>
      <c r="AB54" s="72"/>
      <c r="AC54" s="39"/>
      <c r="AD54" s="72"/>
      <c r="AE54" s="39"/>
      <c r="AF54" s="72"/>
      <c r="AG54" s="37"/>
      <c r="AH54" s="72"/>
      <c r="AI54" s="39"/>
      <c r="AJ54" s="72"/>
      <c r="AK54" s="39"/>
      <c r="AL54" s="72"/>
      <c r="AM54" s="39"/>
      <c r="AN54" s="38"/>
      <c r="AO54" s="72"/>
    </row>
    <row r="55" spans="1:41" x14ac:dyDescent="0.2">
      <c r="A55" s="47" t="s">
        <v>112</v>
      </c>
      <c r="B55" s="47" t="s">
        <v>96</v>
      </c>
      <c r="C55" s="51">
        <f t="shared" si="0"/>
        <v>0</v>
      </c>
      <c r="D55" s="98"/>
      <c r="E55" s="99"/>
      <c r="F55" s="98"/>
      <c r="G55" s="99"/>
      <c r="H55" s="98"/>
      <c r="I55" s="99"/>
      <c r="J55" s="98"/>
      <c r="K55" s="100"/>
      <c r="L55" s="98"/>
      <c r="M55" s="99"/>
      <c r="N55" s="72">
        <v>0</v>
      </c>
      <c r="O55" s="36"/>
      <c r="P55" s="72">
        <v>0</v>
      </c>
      <c r="Q55" s="37"/>
      <c r="R55" s="72">
        <v>0</v>
      </c>
      <c r="S55" s="37"/>
      <c r="T55" s="72"/>
      <c r="U55" s="39"/>
      <c r="V55" s="38"/>
      <c r="W55" s="72"/>
      <c r="X55" s="72"/>
      <c r="Y55" s="37"/>
      <c r="Z55" s="35"/>
      <c r="AA55" s="72"/>
      <c r="AB55" s="72"/>
      <c r="AC55" s="39"/>
      <c r="AD55" s="72"/>
      <c r="AE55" s="39"/>
      <c r="AF55" s="72"/>
      <c r="AG55" s="37"/>
      <c r="AH55" s="72"/>
      <c r="AI55" s="39"/>
      <c r="AJ55" s="72"/>
      <c r="AK55" s="39"/>
      <c r="AL55" s="72"/>
      <c r="AM55" s="39"/>
      <c r="AN55" s="38"/>
      <c r="AO55" s="72"/>
    </row>
    <row r="56" spans="1:41" x14ac:dyDescent="0.2">
      <c r="A56" s="47" t="s">
        <v>113</v>
      </c>
      <c r="B56" s="47" t="s">
        <v>114</v>
      </c>
      <c r="C56" s="51">
        <f t="shared" si="0"/>
        <v>3</v>
      </c>
      <c r="D56" s="98"/>
      <c r="E56" s="99"/>
      <c r="F56" s="72">
        <v>0</v>
      </c>
      <c r="G56" s="36"/>
      <c r="H56" s="72">
        <v>0</v>
      </c>
      <c r="I56" s="36"/>
      <c r="J56" s="72">
        <v>0</v>
      </c>
      <c r="K56" s="43"/>
      <c r="L56" s="72">
        <v>0</v>
      </c>
      <c r="M56" s="36"/>
      <c r="N56" s="72">
        <v>1</v>
      </c>
      <c r="O56" s="36" t="s">
        <v>307</v>
      </c>
      <c r="P56" s="72">
        <v>1</v>
      </c>
      <c r="Q56" s="37" t="s">
        <v>307</v>
      </c>
      <c r="R56" s="72">
        <v>1</v>
      </c>
      <c r="S56" s="37" t="s">
        <v>307</v>
      </c>
      <c r="T56" s="72"/>
      <c r="U56" s="39"/>
      <c r="V56" s="38"/>
      <c r="W56" s="72"/>
      <c r="X56" s="72"/>
      <c r="Y56" s="37"/>
      <c r="Z56" s="35"/>
      <c r="AA56" s="72"/>
      <c r="AB56" s="72"/>
      <c r="AC56" s="39"/>
      <c r="AD56" s="72"/>
      <c r="AE56" s="39"/>
      <c r="AF56" s="72"/>
      <c r="AG56" s="37"/>
      <c r="AH56" s="72"/>
      <c r="AI56" s="39"/>
      <c r="AJ56" s="72"/>
      <c r="AK56" s="39"/>
      <c r="AL56" s="72"/>
      <c r="AM56" s="39"/>
      <c r="AN56" s="38"/>
      <c r="AO56" s="72"/>
    </row>
    <row r="57" spans="1:41" x14ac:dyDescent="0.2">
      <c r="A57" s="47" t="s">
        <v>115</v>
      </c>
      <c r="B57" s="47" t="s">
        <v>181</v>
      </c>
      <c r="C57" s="51">
        <f t="shared" si="0"/>
        <v>0</v>
      </c>
      <c r="D57" s="98"/>
      <c r="E57" s="99"/>
      <c r="F57" s="98"/>
      <c r="G57" s="99"/>
      <c r="H57" s="98"/>
      <c r="I57" s="99"/>
      <c r="J57" s="98"/>
      <c r="K57" s="100"/>
      <c r="L57" s="98"/>
      <c r="M57" s="99"/>
      <c r="N57" s="98"/>
      <c r="O57" s="99"/>
      <c r="P57" s="72">
        <v>0</v>
      </c>
      <c r="Q57" s="37"/>
      <c r="R57" s="72">
        <v>0</v>
      </c>
      <c r="S57" s="37"/>
      <c r="T57" s="72"/>
      <c r="U57" s="39"/>
      <c r="V57" s="38"/>
      <c r="W57" s="72"/>
      <c r="X57" s="72"/>
      <c r="Y57" s="37"/>
      <c r="Z57" s="35"/>
      <c r="AA57" s="72"/>
      <c r="AB57" s="72"/>
      <c r="AC57" s="39"/>
      <c r="AD57" s="72"/>
      <c r="AE57" s="39"/>
      <c r="AF57" s="72"/>
      <c r="AG57" s="37"/>
      <c r="AH57" s="72"/>
      <c r="AI57" s="39"/>
      <c r="AJ57" s="72"/>
      <c r="AK57" s="39"/>
      <c r="AL57" s="72"/>
      <c r="AM57" s="39"/>
      <c r="AN57" s="38"/>
      <c r="AO57" s="72"/>
    </row>
    <row r="58" spans="1:41" x14ac:dyDescent="0.2">
      <c r="A58" s="47" t="s">
        <v>116</v>
      </c>
      <c r="B58" s="47" t="s">
        <v>117</v>
      </c>
      <c r="C58" s="51">
        <f t="shared" si="0"/>
        <v>0</v>
      </c>
      <c r="D58" s="98"/>
      <c r="E58" s="99"/>
      <c r="F58" s="98"/>
      <c r="G58" s="99"/>
      <c r="H58" s="98"/>
      <c r="I58" s="99"/>
      <c r="J58" s="98"/>
      <c r="K58" s="100"/>
      <c r="L58" s="98"/>
      <c r="M58" s="99"/>
      <c r="N58" s="98"/>
      <c r="O58" s="99"/>
      <c r="P58" s="98"/>
      <c r="Q58" s="101"/>
      <c r="R58" s="72">
        <v>0</v>
      </c>
      <c r="S58" s="37"/>
      <c r="T58" s="72"/>
      <c r="U58" s="39"/>
      <c r="V58" s="38"/>
      <c r="W58" s="72"/>
      <c r="X58" s="72"/>
      <c r="Y58" s="37"/>
      <c r="Z58" s="35"/>
      <c r="AA58" s="72"/>
      <c r="AB58" s="72"/>
      <c r="AC58" s="39"/>
      <c r="AD58" s="72"/>
      <c r="AE58" s="39"/>
      <c r="AF58" s="72"/>
      <c r="AG58" s="37"/>
      <c r="AH58" s="72"/>
      <c r="AI58" s="39"/>
      <c r="AJ58" s="72"/>
      <c r="AK58" s="39"/>
      <c r="AL58" s="72"/>
      <c r="AM58" s="39"/>
      <c r="AN58" s="38"/>
      <c r="AO58" s="72"/>
    </row>
    <row r="59" spans="1:41" x14ac:dyDescent="0.2">
      <c r="A59" s="47" t="s">
        <v>118</v>
      </c>
      <c r="B59" s="47" t="s">
        <v>119</v>
      </c>
      <c r="C59" s="51">
        <f t="shared" si="0"/>
        <v>6</v>
      </c>
      <c r="D59" s="72">
        <v>0</v>
      </c>
      <c r="E59" s="36"/>
      <c r="F59" s="72">
        <v>0</v>
      </c>
      <c r="G59" s="36"/>
      <c r="H59" s="72">
        <v>1</v>
      </c>
      <c r="I59" s="36" t="s">
        <v>277</v>
      </c>
      <c r="J59" s="72">
        <v>1</v>
      </c>
      <c r="K59" s="36" t="s">
        <v>277</v>
      </c>
      <c r="L59" s="72">
        <v>1</v>
      </c>
      <c r="M59" s="36" t="s">
        <v>277</v>
      </c>
      <c r="N59" s="72">
        <v>1</v>
      </c>
      <c r="O59" s="36" t="s">
        <v>277</v>
      </c>
      <c r="P59" s="72">
        <v>1</v>
      </c>
      <c r="Q59" s="36" t="s">
        <v>277</v>
      </c>
      <c r="R59" s="72">
        <v>1</v>
      </c>
      <c r="S59" s="37" t="s">
        <v>277</v>
      </c>
      <c r="T59" s="72"/>
      <c r="U59" s="39"/>
      <c r="V59" s="38"/>
      <c r="W59" s="72"/>
      <c r="X59" s="72"/>
      <c r="Y59" s="37"/>
      <c r="Z59" s="35"/>
      <c r="AA59" s="72"/>
      <c r="AB59" s="72"/>
      <c r="AC59" s="39"/>
      <c r="AD59" s="72"/>
      <c r="AE59" s="39"/>
      <c r="AF59" s="72"/>
      <c r="AG59" s="37"/>
      <c r="AH59" s="72"/>
      <c r="AI59" s="39"/>
      <c r="AJ59" s="72"/>
      <c r="AK59" s="39"/>
      <c r="AL59" s="72"/>
      <c r="AM59" s="39"/>
      <c r="AN59" s="38"/>
      <c r="AO59" s="72"/>
    </row>
    <row r="60" spans="1:41" x14ac:dyDescent="0.2">
      <c r="A60" s="47" t="s">
        <v>120</v>
      </c>
      <c r="B60" s="47" t="s">
        <v>121</v>
      </c>
      <c r="C60" s="51">
        <f t="shared" si="0"/>
        <v>6</v>
      </c>
      <c r="D60" s="72">
        <v>1</v>
      </c>
      <c r="E60" s="36" t="s">
        <v>310</v>
      </c>
      <c r="F60" s="72">
        <v>1</v>
      </c>
      <c r="G60" s="36" t="s">
        <v>310</v>
      </c>
      <c r="H60" s="72">
        <v>1</v>
      </c>
      <c r="I60" s="36" t="s">
        <v>310</v>
      </c>
      <c r="J60" s="72">
        <v>1</v>
      </c>
      <c r="K60" s="43" t="s">
        <v>310</v>
      </c>
      <c r="L60" s="72">
        <v>0</v>
      </c>
      <c r="M60" s="36"/>
      <c r="N60" s="72">
        <v>0</v>
      </c>
      <c r="O60" s="36"/>
      <c r="P60" s="72">
        <v>1</v>
      </c>
      <c r="Q60" s="37" t="s">
        <v>310</v>
      </c>
      <c r="R60" s="72">
        <v>1</v>
      </c>
      <c r="S60" s="37" t="s">
        <v>310</v>
      </c>
      <c r="T60" s="72"/>
      <c r="U60" s="39"/>
      <c r="V60" s="38"/>
      <c r="W60" s="72"/>
      <c r="X60" s="72"/>
      <c r="Y60" s="37"/>
      <c r="Z60" s="35"/>
      <c r="AA60" s="72"/>
      <c r="AB60" s="72"/>
      <c r="AC60" s="39"/>
      <c r="AD60" s="72"/>
      <c r="AE60" s="39"/>
      <c r="AF60" s="72"/>
      <c r="AG60" s="37"/>
      <c r="AH60" s="72"/>
      <c r="AI60" s="39"/>
      <c r="AJ60" s="72"/>
      <c r="AK60" s="39"/>
      <c r="AL60" s="72"/>
      <c r="AM60" s="39"/>
      <c r="AN60" s="38"/>
      <c r="AO60" s="72"/>
    </row>
    <row r="61" spans="1:41" x14ac:dyDescent="0.2">
      <c r="A61" s="47" t="s">
        <v>122</v>
      </c>
      <c r="B61" s="47" t="s">
        <v>123</v>
      </c>
      <c r="C61" s="51">
        <f t="shared" si="0"/>
        <v>0</v>
      </c>
      <c r="D61" s="98"/>
      <c r="E61" s="99"/>
      <c r="F61" s="72">
        <v>0</v>
      </c>
      <c r="G61" s="36"/>
      <c r="H61" s="72">
        <v>0</v>
      </c>
      <c r="I61" s="36"/>
      <c r="J61" s="72">
        <v>0</v>
      </c>
      <c r="K61" s="43"/>
      <c r="L61" s="72">
        <v>0</v>
      </c>
      <c r="M61" s="36"/>
      <c r="N61" s="72">
        <v>0</v>
      </c>
      <c r="O61" s="36"/>
      <c r="P61" s="72">
        <v>0</v>
      </c>
      <c r="Q61" s="37"/>
      <c r="R61" s="72">
        <v>0</v>
      </c>
      <c r="S61" s="37"/>
      <c r="T61" s="72"/>
      <c r="U61" s="39"/>
      <c r="V61" s="38"/>
      <c r="W61" s="72"/>
      <c r="X61" s="72"/>
      <c r="Y61" s="37"/>
      <c r="Z61" s="35"/>
      <c r="AA61" s="72"/>
      <c r="AB61" s="72"/>
      <c r="AC61" s="39"/>
      <c r="AD61" s="72"/>
      <c r="AE61" s="39"/>
      <c r="AF61" s="72"/>
      <c r="AG61" s="37"/>
      <c r="AH61" s="72"/>
      <c r="AI61" s="39"/>
      <c r="AJ61" s="72"/>
      <c r="AK61" s="39"/>
      <c r="AL61" s="72"/>
      <c r="AM61" s="39"/>
      <c r="AN61" s="38"/>
      <c r="AO61" s="72"/>
    </row>
    <row r="62" spans="1:41" x14ac:dyDescent="0.2">
      <c r="A62" s="47" t="s">
        <v>124</v>
      </c>
      <c r="B62" s="47" t="s">
        <v>48</v>
      </c>
      <c r="C62" s="51">
        <f t="shared" si="0"/>
        <v>8</v>
      </c>
      <c r="D62" s="72">
        <v>1</v>
      </c>
      <c r="E62" s="36" t="s">
        <v>266</v>
      </c>
      <c r="F62" s="72">
        <v>1</v>
      </c>
      <c r="G62" s="36" t="s">
        <v>304</v>
      </c>
      <c r="H62" s="72">
        <v>1</v>
      </c>
      <c r="I62" s="36" t="s">
        <v>304</v>
      </c>
      <c r="J62" s="72">
        <v>1</v>
      </c>
      <c r="K62" s="36" t="s">
        <v>304</v>
      </c>
      <c r="L62" s="72">
        <v>1</v>
      </c>
      <c r="M62" s="36" t="s">
        <v>304</v>
      </c>
      <c r="N62" s="72">
        <v>1</v>
      </c>
      <c r="O62" s="36" t="s">
        <v>243</v>
      </c>
      <c r="P62" s="72">
        <v>1</v>
      </c>
      <c r="Q62" s="37" t="s">
        <v>243</v>
      </c>
      <c r="R62" s="72">
        <v>1</v>
      </c>
      <c r="S62" s="37" t="s">
        <v>297</v>
      </c>
      <c r="T62" s="72"/>
      <c r="U62" s="39"/>
      <c r="V62" s="38"/>
      <c r="W62" s="72"/>
      <c r="X62" s="72"/>
      <c r="Y62" s="37"/>
      <c r="Z62" s="35"/>
      <c r="AA62" s="72"/>
      <c r="AB62" s="72"/>
      <c r="AC62" s="39"/>
      <c r="AD62" s="72"/>
      <c r="AE62" s="39"/>
      <c r="AF62" s="72"/>
      <c r="AG62" s="37"/>
      <c r="AH62" s="72"/>
      <c r="AI62" s="39"/>
      <c r="AJ62" s="72"/>
      <c r="AK62" s="39"/>
      <c r="AL62" s="72"/>
      <c r="AM62" s="39"/>
      <c r="AN62" s="38"/>
      <c r="AO62" s="72"/>
    </row>
    <row r="63" spans="1:41" x14ac:dyDescent="0.2">
      <c r="A63" s="47" t="s">
        <v>125</v>
      </c>
      <c r="B63" s="47" t="s">
        <v>126</v>
      </c>
      <c r="C63" s="51">
        <f t="shared" si="0"/>
        <v>0</v>
      </c>
      <c r="D63" s="98"/>
      <c r="E63" s="99"/>
      <c r="F63" s="98"/>
      <c r="G63" s="99"/>
      <c r="H63" s="98"/>
      <c r="I63" s="99"/>
      <c r="J63" s="98"/>
      <c r="K63" s="100"/>
      <c r="L63" s="98"/>
      <c r="M63" s="99"/>
      <c r="N63" s="98"/>
      <c r="O63" s="99"/>
      <c r="P63" s="72">
        <v>0</v>
      </c>
      <c r="Q63" s="37"/>
      <c r="R63" s="72">
        <v>0</v>
      </c>
      <c r="S63" s="37"/>
      <c r="T63" s="72"/>
      <c r="U63" s="39"/>
      <c r="V63" s="38"/>
      <c r="W63" s="72"/>
      <c r="X63" s="72"/>
      <c r="Y63" s="37"/>
      <c r="Z63" s="35"/>
      <c r="AA63" s="72"/>
      <c r="AB63" s="72"/>
      <c r="AC63" s="39"/>
      <c r="AD63" s="72"/>
      <c r="AE63" s="39"/>
      <c r="AF63" s="72"/>
      <c r="AG63" s="37"/>
      <c r="AH63" s="72"/>
      <c r="AI63" s="39"/>
      <c r="AJ63" s="72"/>
      <c r="AK63" s="39"/>
      <c r="AL63" s="72"/>
      <c r="AM63" s="39"/>
      <c r="AN63" s="38"/>
      <c r="AO63" s="72"/>
    </row>
    <row r="64" spans="1:41" x14ac:dyDescent="0.2">
      <c r="A64" s="47" t="s">
        <v>127</v>
      </c>
      <c r="B64" s="47" t="s">
        <v>128</v>
      </c>
      <c r="C64" s="51">
        <f t="shared" si="0"/>
        <v>0</v>
      </c>
      <c r="D64" s="98"/>
      <c r="E64" s="99"/>
      <c r="F64" s="98"/>
      <c r="G64" s="99"/>
      <c r="H64" s="98"/>
      <c r="I64" s="99"/>
      <c r="J64" s="72">
        <v>0</v>
      </c>
      <c r="K64" s="43"/>
      <c r="L64" s="72">
        <v>0</v>
      </c>
      <c r="M64" s="36"/>
      <c r="N64" s="72">
        <v>0</v>
      </c>
      <c r="O64" s="36"/>
      <c r="P64" s="72">
        <v>0</v>
      </c>
      <c r="Q64" s="37"/>
      <c r="R64" s="72">
        <v>0</v>
      </c>
      <c r="S64" s="37"/>
      <c r="T64" s="72"/>
      <c r="U64" s="39"/>
      <c r="V64" s="38"/>
      <c r="W64" s="72"/>
      <c r="X64" s="72"/>
      <c r="Y64" s="37"/>
      <c r="Z64" s="35"/>
      <c r="AA64" s="72"/>
      <c r="AB64" s="72"/>
      <c r="AC64" s="39"/>
      <c r="AD64" s="72"/>
      <c r="AE64" s="39"/>
      <c r="AF64" s="72"/>
      <c r="AG64" s="37"/>
      <c r="AH64" s="72"/>
      <c r="AI64" s="39"/>
      <c r="AJ64" s="72"/>
      <c r="AK64" s="39"/>
      <c r="AL64" s="72"/>
      <c r="AM64" s="39"/>
      <c r="AN64" s="38"/>
      <c r="AO64" s="72"/>
    </row>
    <row r="65" spans="1:41" x14ac:dyDescent="0.2">
      <c r="A65" s="47" t="s">
        <v>129</v>
      </c>
      <c r="B65" s="47" t="s">
        <v>130</v>
      </c>
      <c r="C65" s="51">
        <f t="shared" si="0"/>
        <v>0</v>
      </c>
      <c r="D65" s="98"/>
      <c r="E65" s="99"/>
      <c r="F65" s="98"/>
      <c r="G65" s="99"/>
      <c r="H65" s="98"/>
      <c r="I65" s="99"/>
      <c r="J65" s="98"/>
      <c r="K65" s="100"/>
      <c r="L65" s="98"/>
      <c r="M65" s="99"/>
      <c r="N65" s="98"/>
      <c r="O65" s="99"/>
      <c r="P65" s="72">
        <v>0</v>
      </c>
      <c r="Q65" s="37"/>
      <c r="R65" s="72">
        <v>0</v>
      </c>
      <c r="S65" s="37"/>
      <c r="T65" s="72"/>
      <c r="U65" s="39"/>
      <c r="V65" s="38"/>
      <c r="W65" s="72"/>
      <c r="X65" s="72"/>
      <c r="Y65" s="37"/>
      <c r="Z65" s="35"/>
      <c r="AA65" s="72"/>
      <c r="AB65" s="72"/>
      <c r="AC65" s="39"/>
      <c r="AD65" s="72"/>
      <c r="AE65" s="39"/>
      <c r="AF65" s="72"/>
      <c r="AG65" s="37"/>
      <c r="AH65" s="72"/>
      <c r="AI65" s="39"/>
      <c r="AJ65" s="72"/>
      <c r="AK65" s="39"/>
      <c r="AL65" s="72"/>
      <c r="AM65" s="39"/>
      <c r="AN65" s="38"/>
      <c r="AO65" s="72"/>
    </row>
    <row r="66" spans="1:41" x14ac:dyDescent="0.2">
      <c r="A66" s="47" t="s">
        <v>131</v>
      </c>
      <c r="B66" s="47" t="s">
        <v>31</v>
      </c>
      <c r="C66" s="51">
        <f t="shared" si="0"/>
        <v>0</v>
      </c>
      <c r="D66" s="72">
        <v>0</v>
      </c>
      <c r="E66" s="36"/>
      <c r="F66" s="72">
        <v>0</v>
      </c>
      <c r="G66" s="36"/>
      <c r="H66" s="72">
        <v>0</v>
      </c>
      <c r="I66" s="36"/>
      <c r="J66" s="72">
        <v>0</v>
      </c>
      <c r="K66" s="43"/>
      <c r="L66" s="72">
        <v>0</v>
      </c>
      <c r="M66" s="36"/>
      <c r="N66" s="72">
        <v>0</v>
      </c>
      <c r="O66" s="36"/>
      <c r="P66" s="72">
        <v>0</v>
      </c>
      <c r="Q66" s="37"/>
      <c r="R66" s="72">
        <v>0</v>
      </c>
      <c r="S66" s="37"/>
      <c r="T66" s="72"/>
      <c r="U66" s="39"/>
      <c r="V66" s="38"/>
      <c r="W66" s="72"/>
      <c r="X66" s="72"/>
      <c r="Y66" s="37"/>
      <c r="Z66" s="35"/>
      <c r="AA66" s="72"/>
      <c r="AB66" s="72"/>
      <c r="AC66" s="39"/>
      <c r="AD66" s="72"/>
      <c r="AE66" s="39"/>
      <c r="AF66" s="72"/>
      <c r="AG66" s="37"/>
      <c r="AH66" s="72"/>
      <c r="AI66" s="39"/>
      <c r="AJ66" s="72"/>
      <c r="AK66" s="39"/>
      <c r="AL66" s="72"/>
      <c r="AM66" s="39"/>
      <c r="AN66" s="38"/>
      <c r="AO66" s="72"/>
    </row>
    <row r="67" spans="1:41" x14ac:dyDescent="0.2">
      <c r="A67" s="47" t="s">
        <v>132</v>
      </c>
      <c r="B67" s="47" t="s">
        <v>126</v>
      </c>
      <c r="C67" s="51">
        <f t="shared" ref="C67:C92" si="1">SUM(D67+F67+H67+J67+L67+N67+P67+R67+T67+V67+X67+Z67+AB67+AD67+AF67+AH67+AJ67+AL67+AN67)</f>
        <v>4</v>
      </c>
      <c r="D67" s="72">
        <v>0</v>
      </c>
      <c r="E67" s="36"/>
      <c r="F67" s="72">
        <v>0</v>
      </c>
      <c r="G67" s="36"/>
      <c r="H67" s="72">
        <v>1</v>
      </c>
      <c r="I67" s="36" t="s">
        <v>312</v>
      </c>
      <c r="J67" s="72">
        <v>1</v>
      </c>
      <c r="K67" s="36" t="s">
        <v>312</v>
      </c>
      <c r="L67" s="72">
        <v>1</v>
      </c>
      <c r="M67" s="36" t="s">
        <v>312</v>
      </c>
      <c r="N67" s="72">
        <v>1</v>
      </c>
      <c r="O67" s="36" t="s">
        <v>312</v>
      </c>
      <c r="P67" s="72">
        <v>0</v>
      </c>
      <c r="Q67" s="37"/>
      <c r="R67" s="72">
        <v>0</v>
      </c>
      <c r="S67" s="37"/>
      <c r="T67" s="72"/>
      <c r="U67" s="39"/>
      <c r="V67" s="38"/>
      <c r="W67" s="72"/>
      <c r="X67" s="72"/>
      <c r="Y67" s="37"/>
      <c r="Z67" s="35"/>
      <c r="AA67" s="72"/>
      <c r="AB67" s="72"/>
      <c r="AC67" s="39"/>
      <c r="AD67" s="72"/>
      <c r="AE67" s="39"/>
      <c r="AF67" s="72"/>
      <c r="AG67" s="37"/>
      <c r="AH67" s="72"/>
      <c r="AI67" s="39"/>
      <c r="AJ67" s="72"/>
      <c r="AK67" s="39"/>
      <c r="AL67" s="72"/>
      <c r="AM67" s="39"/>
      <c r="AN67" s="38"/>
      <c r="AO67" s="72"/>
    </row>
    <row r="68" spans="1:41" x14ac:dyDescent="0.2">
      <c r="A68" s="47" t="s">
        <v>133</v>
      </c>
      <c r="B68" s="47" t="s">
        <v>134</v>
      </c>
      <c r="C68" s="51">
        <f t="shared" si="1"/>
        <v>1</v>
      </c>
      <c r="D68" s="72">
        <v>1</v>
      </c>
      <c r="E68" s="36" t="s">
        <v>294</v>
      </c>
      <c r="F68" s="72">
        <v>0</v>
      </c>
      <c r="G68" s="36"/>
      <c r="H68" s="72">
        <v>0</v>
      </c>
      <c r="I68" s="36"/>
      <c r="J68" s="72">
        <v>0</v>
      </c>
      <c r="K68" s="43"/>
      <c r="L68" s="72">
        <v>0</v>
      </c>
      <c r="M68" s="36"/>
      <c r="N68" s="72">
        <v>0</v>
      </c>
      <c r="O68" s="36"/>
      <c r="P68" s="72">
        <v>0</v>
      </c>
      <c r="Q68" s="37"/>
      <c r="R68" s="72">
        <v>0</v>
      </c>
      <c r="S68" s="37"/>
      <c r="T68" s="72"/>
      <c r="U68" s="39"/>
      <c r="V68" s="38"/>
      <c r="W68" s="72"/>
      <c r="X68" s="72"/>
      <c r="Y68" s="37"/>
      <c r="Z68" s="35"/>
      <c r="AA68" s="72"/>
      <c r="AB68" s="72"/>
      <c r="AC68" s="39"/>
      <c r="AD68" s="72"/>
      <c r="AE68" s="39"/>
      <c r="AF68" s="72"/>
      <c r="AG68" s="37"/>
      <c r="AH68" s="72"/>
      <c r="AI68" s="39"/>
      <c r="AJ68" s="72"/>
      <c r="AK68" s="39"/>
      <c r="AL68" s="72"/>
      <c r="AM68" s="39"/>
      <c r="AN68" s="38"/>
      <c r="AO68" s="72"/>
    </row>
    <row r="69" spans="1:41" x14ac:dyDescent="0.2">
      <c r="A69" s="47" t="s">
        <v>135</v>
      </c>
      <c r="B69" s="47" t="s">
        <v>136</v>
      </c>
      <c r="C69" s="51">
        <f t="shared" si="1"/>
        <v>0</v>
      </c>
      <c r="D69" s="98"/>
      <c r="E69" s="99"/>
      <c r="F69" s="98"/>
      <c r="G69" s="99"/>
      <c r="H69" s="98"/>
      <c r="I69" s="99"/>
      <c r="J69" s="98"/>
      <c r="K69" s="100"/>
      <c r="L69" s="98"/>
      <c r="M69" s="99"/>
      <c r="N69" s="98"/>
      <c r="O69" s="99"/>
      <c r="P69" s="98"/>
      <c r="Q69" s="101"/>
      <c r="R69" s="72">
        <v>0</v>
      </c>
      <c r="S69" s="37"/>
      <c r="T69" s="72"/>
      <c r="U69" s="39"/>
      <c r="V69" s="38"/>
      <c r="W69" s="72"/>
      <c r="X69" s="72"/>
      <c r="Y69" s="37"/>
      <c r="Z69" s="35"/>
      <c r="AA69" s="72"/>
      <c r="AB69" s="72"/>
      <c r="AC69" s="39"/>
      <c r="AD69" s="72"/>
      <c r="AE69" s="39"/>
      <c r="AF69" s="72"/>
      <c r="AG69" s="37"/>
      <c r="AH69" s="72"/>
      <c r="AI69" s="39"/>
      <c r="AJ69" s="72"/>
      <c r="AK69" s="39"/>
      <c r="AL69" s="72"/>
      <c r="AM69" s="39"/>
      <c r="AN69" s="38"/>
      <c r="AO69" s="72"/>
    </row>
    <row r="70" spans="1:41" x14ac:dyDescent="0.2">
      <c r="A70" s="47" t="s">
        <v>137</v>
      </c>
      <c r="B70" s="47" t="s">
        <v>182</v>
      </c>
      <c r="C70" s="51">
        <f t="shared" si="1"/>
        <v>0</v>
      </c>
      <c r="D70" s="98"/>
      <c r="E70" s="99"/>
      <c r="F70" s="98"/>
      <c r="G70" s="99"/>
      <c r="H70" s="98"/>
      <c r="I70" s="99"/>
      <c r="J70" s="98"/>
      <c r="K70" s="100"/>
      <c r="L70" s="98"/>
      <c r="M70" s="99"/>
      <c r="N70" s="98"/>
      <c r="O70" s="99"/>
      <c r="P70" s="98"/>
      <c r="Q70" s="101"/>
      <c r="R70" s="72">
        <v>0</v>
      </c>
      <c r="S70" s="37"/>
      <c r="T70" s="72"/>
      <c r="U70" s="39"/>
      <c r="V70" s="38"/>
      <c r="W70" s="72"/>
      <c r="X70" s="72"/>
      <c r="Y70" s="37"/>
      <c r="Z70" s="35"/>
      <c r="AA70" s="72"/>
      <c r="AB70" s="72"/>
      <c r="AC70" s="39"/>
      <c r="AD70" s="72"/>
      <c r="AE70" s="39"/>
      <c r="AF70" s="72"/>
      <c r="AG70" s="37"/>
      <c r="AH70" s="72"/>
      <c r="AI70" s="39"/>
      <c r="AJ70" s="72"/>
      <c r="AK70" s="39"/>
      <c r="AL70" s="72"/>
      <c r="AM70" s="39"/>
      <c r="AN70" s="38"/>
      <c r="AO70" s="72"/>
    </row>
    <row r="71" spans="1:41" x14ac:dyDescent="0.2">
      <c r="A71" s="47" t="s">
        <v>138</v>
      </c>
      <c r="B71" s="47" t="s">
        <v>139</v>
      </c>
      <c r="C71" s="51">
        <f t="shared" si="1"/>
        <v>0</v>
      </c>
      <c r="D71" s="98"/>
      <c r="E71" s="99"/>
      <c r="F71" s="98"/>
      <c r="G71" s="99"/>
      <c r="H71" s="98"/>
      <c r="I71" s="99"/>
      <c r="J71" s="72">
        <v>0</v>
      </c>
      <c r="K71" s="43"/>
      <c r="L71" s="72">
        <v>0</v>
      </c>
      <c r="M71" s="36"/>
      <c r="N71" s="72">
        <v>0</v>
      </c>
      <c r="O71" s="36"/>
      <c r="P71" s="72">
        <v>0</v>
      </c>
      <c r="Q71" s="37"/>
      <c r="R71" s="72">
        <v>0</v>
      </c>
      <c r="S71" s="37"/>
      <c r="T71" s="72"/>
      <c r="U71" s="39"/>
      <c r="V71" s="38"/>
      <c r="W71" s="72"/>
      <c r="X71" s="72"/>
      <c r="Y71" s="37"/>
      <c r="Z71" s="35"/>
      <c r="AA71" s="72"/>
      <c r="AB71" s="72"/>
      <c r="AC71" s="39"/>
      <c r="AD71" s="72"/>
      <c r="AE71" s="39"/>
      <c r="AF71" s="72"/>
      <c r="AG71" s="37"/>
      <c r="AH71" s="72"/>
      <c r="AI71" s="39"/>
      <c r="AJ71" s="72"/>
      <c r="AK71" s="39"/>
      <c r="AL71" s="72"/>
      <c r="AM71" s="39"/>
      <c r="AN71" s="38"/>
      <c r="AO71" s="72"/>
    </row>
    <row r="72" spans="1:41" x14ac:dyDescent="0.2">
      <c r="A72" s="47" t="s">
        <v>140</v>
      </c>
      <c r="B72" s="47" t="s">
        <v>141</v>
      </c>
      <c r="C72" s="51">
        <f t="shared" si="1"/>
        <v>6</v>
      </c>
      <c r="D72" s="72">
        <v>0</v>
      </c>
      <c r="E72" s="36"/>
      <c r="F72" s="72">
        <v>0</v>
      </c>
      <c r="G72" s="36"/>
      <c r="H72" s="72">
        <v>1</v>
      </c>
      <c r="I72" s="36" t="s">
        <v>271</v>
      </c>
      <c r="J72" s="72">
        <v>1</v>
      </c>
      <c r="K72" s="43" t="s">
        <v>271</v>
      </c>
      <c r="L72" s="72">
        <v>1</v>
      </c>
      <c r="M72" s="36" t="s">
        <v>271</v>
      </c>
      <c r="N72" s="72">
        <v>1</v>
      </c>
      <c r="O72" s="36" t="s">
        <v>271</v>
      </c>
      <c r="P72" s="72">
        <v>1</v>
      </c>
      <c r="Q72" s="37" t="s">
        <v>271</v>
      </c>
      <c r="R72" s="72">
        <v>1</v>
      </c>
      <c r="S72" s="37" t="s">
        <v>320</v>
      </c>
      <c r="T72" s="72"/>
      <c r="U72" s="39"/>
      <c r="V72" s="38"/>
      <c r="W72" s="72"/>
      <c r="X72" s="72"/>
      <c r="Y72" s="37"/>
      <c r="Z72" s="35"/>
      <c r="AA72" s="72"/>
      <c r="AB72" s="72"/>
      <c r="AC72" s="39"/>
      <c r="AD72" s="72"/>
      <c r="AE72" s="39"/>
      <c r="AF72" s="72"/>
      <c r="AG72" s="37"/>
      <c r="AH72" s="72"/>
      <c r="AI72" s="39"/>
      <c r="AJ72" s="72"/>
      <c r="AK72" s="39"/>
      <c r="AL72" s="72"/>
      <c r="AM72" s="39"/>
      <c r="AN72" s="38"/>
      <c r="AO72" s="72"/>
    </row>
    <row r="73" spans="1:41" x14ac:dyDescent="0.2">
      <c r="A73" s="47" t="s">
        <v>144</v>
      </c>
      <c r="B73" s="47" t="s">
        <v>58</v>
      </c>
      <c r="C73" s="51">
        <f t="shared" si="1"/>
        <v>0</v>
      </c>
      <c r="D73" s="98"/>
      <c r="E73" s="99"/>
      <c r="F73" s="98"/>
      <c r="G73" s="99"/>
      <c r="H73" s="98"/>
      <c r="I73" s="99"/>
      <c r="J73" s="98"/>
      <c r="K73" s="100"/>
      <c r="L73" s="98"/>
      <c r="M73" s="99"/>
      <c r="N73" s="98"/>
      <c r="O73" s="99"/>
      <c r="P73" s="98"/>
      <c r="Q73" s="101"/>
      <c r="R73" s="72">
        <v>0</v>
      </c>
      <c r="S73" s="37"/>
      <c r="T73" s="72"/>
      <c r="U73" s="39"/>
      <c r="V73" s="38"/>
      <c r="W73" s="72"/>
      <c r="X73" s="72"/>
      <c r="Y73" s="37"/>
      <c r="Z73" s="35"/>
      <c r="AA73" s="72"/>
      <c r="AB73" s="72"/>
      <c r="AC73" s="39"/>
      <c r="AD73" s="72"/>
      <c r="AE73" s="39"/>
      <c r="AF73" s="72"/>
      <c r="AG73" s="37"/>
      <c r="AH73" s="72"/>
      <c r="AI73" s="39"/>
      <c r="AJ73" s="72"/>
      <c r="AK73" s="39"/>
      <c r="AL73" s="72"/>
      <c r="AM73" s="39"/>
      <c r="AN73" s="38"/>
      <c r="AO73" s="72"/>
    </row>
    <row r="74" spans="1:41" x14ac:dyDescent="0.2">
      <c r="A74" s="47" t="s">
        <v>147</v>
      </c>
      <c r="B74" s="47" t="s">
        <v>148</v>
      </c>
      <c r="C74" s="51">
        <f t="shared" si="1"/>
        <v>1</v>
      </c>
      <c r="D74" s="98"/>
      <c r="E74" s="99"/>
      <c r="F74" s="98"/>
      <c r="G74" s="99"/>
      <c r="H74" s="98"/>
      <c r="I74" s="99"/>
      <c r="J74" s="72">
        <v>0</v>
      </c>
      <c r="K74" s="43"/>
      <c r="L74" s="72">
        <v>0</v>
      </c>
      <c r="M74" s="36"/>
      <c r="N74" s="72">
        <v>0</v>
      </c>
      <c r="O74" s="36"/>
      <c r="P74" s="72">
        <v>0</v>
      </c>
      <c r="Q74" s="37"/>
      <c r="R74" s="72">
        <v>1</v>
      </c>
      <c r="S74" s="37" t="s">
        <v>299</v>
      </c>
      <c r="T74" s="72"/>
      <c r="U74" s="39"/>
      <c r="V74" s="38"/>
      <c r="W74" s="72"/>
      <c r="X74" s="72"/>
      <c r="Y74" s="37"/>
      <c r="Z74" s="35"/>
      <c r="AA74" s="72"/>
      <c r="AB74" s="72"/>
      <c r="AC74" s="39"/>
      <c r="AD74" s="72"/>
      <c r="AE74" s="39"/>
      <c r="AF74" s="72"/>
      <c r="AG74" s="37"/>
      <c r="AH74" s="72"/>
      <c r="AI74" s="39"/>
      <c r="AJ74" s="72"/>
      <c r="AK74" s="39"/>
      <c r="AL74" s="72"/>
      <c r="AM74" s="39"/>
      <c r="AN74" s="38"/>
      <c r="AO74" s="72"/>
    </row>
    <row r="75" spans="1:41" x14ac:dyDescent="0.2">
      <c r="A75" s="47" t="s">
        <v>149</v>
      </c>
      <c r="B75" s="47" t="s">
        <v>18</v>
      </c>
      <c r="C75" s="51">
        <f t="shared" si="1"/>
        <v>5</v>
      </c>
      <c r="D75" s="72">
        <v>1</v>
      </c>
      <c r="E75" s="36" t="s">
        <v>275</v>
      </c>
      <c r="F75" s="72">
        <v>1</v>
      </c>
      <c r="G75" s="36" t="s">
        <v>275</v>
      </c>
      <c r="H75" s="72">
        <v>1</v>
      </c>
      <c r="I75" s="36" t="s">
        <v>275</v>
      </c>
      <c r="J75" s="72">
        <v>0</v>
      </c>
      <c r="K75" s="43"/>
      <c r="L75" s="72">
        <v>0</v>
      </c>
      <c r="M75" s="36"/>
      <c r="N75" s="72">
        <v>1</v>
      </c>
      <c r="O75" s="36" t="s">
        <v>260</v>
      </c>
      <c r="P75" s="72">
        <v>1</v>
      </c>
      <c r="Q75" s="37" t="s">
        <v>260</v>
      </c>
      <c r="R75" s="72">
        <v>0</v>
      </c>
      <c r="S75" s="37"/>
      <c r="T75" s="72"/>
      <c r="U75" s="39"/>
      <c r="V75" s="38"/>
      <c r="W75" s="72"/>
      <c r="X75" s="72"/>
      <c r="Y75" s="37"/>
      <c r="Z75" s="35"/>
      <c r="AA75" s="72"/>
      <c r="AB75" s="72"/>
      <c r="AC75" s="39"/>
      <c r="AD75" s="72"/>
      <c r="AE75" s="39"/>
      <c r="AF75" s="72"/>
      <c r="AG75" s="37"/>
      <c r="AH75" s="72"/>
      <c r="AI75" s="39"/>
      <c r="AJ75" s="72"/>
      <c r="AK75" s="39"/>
      <c r="AL75" s="72"/>
      <c r="AM75" s="39"/>
      <c r="AN75" s="38"/>
      <c r="AO75" s="72"/>
    </row>
    <row r="76" spans="1:41" x14ac:dyDescent="0.2">
      <c r="A76" s="47" t="s">
        <v>150</v>
      </c>
      <c r="B76" s="47" t="s">
        <v>35</v>
      </c>
      <c r="C76" s="51">
        <f t="shared" si="1"/>
        <v>1</v>
      </c>
      <c r="D76" s="98"/>
      <c r="E76" s="99"/>
      <c r="F76" s="98"/>
      <c r="G76" s="99"/>
      <c r="H76" s="98"/>
      <c r="I76" s="99"/>
      <c r="J76" s="98"/>
      <c r="K76" s="100"/>
      <c r="L76" s="98"/>
      <c r="M76" s="99"/>
      <c r="N76" s="72">
        <v>0</v>
      </c>
      <c r="O76" s="36"/>
      <c r="P76" s="72">
        <v>0</v>
      </c>
      <c r="Q76" s="37"/>
      <c r="R76" s="72">
        <v>1</v>
      </c>
      <c r="S76" s="37" t="s">
        <v>271</v>
      </c>
      <c r="T76" s="72"/>
      <c r="U76" s="39"/>
      <c r="V76" s="38"/>
      <c r="W76" s="72"/>
      <c r="X76" s="72"/>
      <c r="Y76" s="37"/>
      <c r="Z76" s="35"/>
      <c r="AA76" s="72"/>
      <c r="AB76" s="72"/>
      <c r="AC76" s="39"/>
      <c r="AD76" s="72"/>
      <c r="AE76" s="39"/>
      <c r="AF76" s="72"/>
      <c r="AG76" s="37"/>
      <c r="AH76" s="72"/>
      <c r="AI76" s="39"/>
      <c r="AJ76" s="72"/>
      <c r="AK76" s="39"/>
      <c r="AL76" s="72"/>
      <c r="AM76" s="39"/>
      <c r="AN76" s="38"/>
      <c r="AO76" s="72"/>
    </row>
    <row r="77" spans="1:41" x14ac:dyDescent="0.2">
      <c r="A77" s="47" t="s">
        <v>151</v>
      </c>
      <c r="B77" s="47" t="s">
        <v>82</v>
      </c>
      <c r="C77" s="51">
        <f t="shared" si="1"/>
        <v>1</v>
      </c>
      <c r="D77" s="98"/>
      <c r="E77" s="99"/>
      <c r="F77" s="98"/>
      <c r="G77" s="99"/>
      <c r="H77" s="72">
        <v>0</v>
      </c>
      <c r="I77" s="36"/>
      <c r="J77" s="72">
        <v>0</v>
      </c>
      <c r="K77" s="43"/>
      <c r="L77" s="72">
        <v>0</v>
      </c>
      <c r="M77" s="36"/>
      <c r="N77" s="72">
        <v>0</v>
      </c>
      <c r="O77" s="36"/>
      <c r="P77" s="72">
        <v>0</v>
      </c>
      <c r="Q77" s="37"/>
      <c r="R77" s="72">
        <v>1</v>
      </c>
      <c r="S77" s="37" t="s">
        <v>322</v>
      </c>
      <c r="T77" s="72"/>
      <c r="U77" s="39"/>
      <c r="V77" s="38"/>
      <c r="W77" s="72"/>
      <c r="X77" s="72"/>
      <c r="Y77" s="37"/>
      <c r="Z77" s="35"/>
      <c r="AA77" s="72"/>
      <c r="AB77" s="72"/>
      <c r="AC77" s="39"/>
      <c r="AD77" s="72"/>
      <c r="AE77" s="39"/>
      <c r="AF77" s="72"/>
      <c r="AG77" s="37"/>
      <c r="AH77" s="72"/>
      <c r="AI77" s="39"/>
      <c r="AJ77" s="72"/>
      <c r="AK77" s="39"/>
      <c r="AL77" s="72"/>
      <c r="AM77" s="39"/>
      <c r="AN77" s="38"/>
      <c r="AO77" s="72"/>
    </row>
    <row r="78" spans="1:41" x14ac:dyDescent="0.2">
      <c r="A78" s="47" t="s">
        <v>152</v>
      </c>
      <c r="B78" s="47" t="s">
        <v>183</v>
      </c>
      <c r="C78" s="51">
        <f t="shared" si="1"/>
        <v>0</v>
      </c>
      <c r="D78" s="98"/>
      <c r="E78" s="99"/>
      <c r="F78" s="98"/>
      <c r="G78" s="99"/>
      <c r="H78" s="98"/>
      <c r="I78" s="99"/>
      <c r="J78" s="98"/>
      <c r="K78" s="100"/>
      <c r="L78" s="98"/>
      <c r="M78" s="99"/>
      <c r="N78" s="98"/>
      <c r="O78" s="99"/>
      <c r="P78" s="72">
        <v>0</v>
      </c>
      <c r="Q78" s="37"/>
      <c r="R78" s="72">
        <v>0</v>
      </c>
      <c r="S78" s="37"/>
      <c r="T78" s="72"/>
      <c r="U78" s="39"/>
      <c r="V78" s="38"/>
      <c r="W78" s="72"/>
      <c r="X78" s="72"/>
      <c r="Y78" s="37"/>
      <c r="Z78" s="35"/>
      <c r="AA78" s="72"/>
      <c r="AB78" s="72"/>
      <c r="AC78" s="39"/>
      <c r="AD78" s="72"/>
      <c r="AE78" s="39"/>
      <c r="AF78" s="72"/>
      <c r="AG78" s="37"/>
      <c r="AH78" s="72"/>
      <c r="AI78" s="39"/>
      <c r="AJ78" s="72"/>
      <c r="AK78" s="39"/>
      <c r="AL78" s="72"/>
      <c r="AM78" s="39"/>
      <c r="AN78" s="38"/>
      <c r="AO78" s="72"/>
    </row>
    <row r="79" spans="1:41" x14ac:dyDescent="0.2">
      <c r="A79" s="47" t="s">
        <v>153</v>
      </c>
      <c r="B79" s="47" t="s">
        <v>154</v>
      </c>
      <c r="C79" s="51">
        <f t="shared" si="1"/>
        <v>0</v>
      </c>
      <c r="D79" s="98"/>
      <c r="E79" s="99"/>
      <c r="F79" s="98"/>
      <c r="G79" s="99"/>
      <c r="H79" s="98"/>
      <c r="I79" s="99"/>
      <c r="J79" s="72">
        <v>0</v>
      </c>
      <c r="K79" s="43"/>
      <c r="L79" s="72">
        <v>0</v>
      </c>
      <c r="M79" s="36"/>
      <c r="N79" s="72">
        <v>0</v>
      </c>
      <c r="O79" s="36"/>
      <c r="P79" s="72">
        <v>0</v>
      </c>
      <c r="Q79" s="37"/>
      <c r="R79" s="72">
        <v>0</v>
      </c>
      <c r="S79" s="37"/>
      <c r="T79" s="72"/>
      <c r="U79" s="39"/>
      <c r="V79" s="38"/>
      <c r="W79" s="72"/>
      <c r="X79" s="72"/>
      <c r="Y79" s="37"/>
      <c r="Z79" s="35"/>
      <c r="AA79" s="72"/>
      <c r="AB79" s="72"/>
      <c r="AC79" s="39"/>
      <c r="AD79" s="72"/>
      <c r="AE79" s="39"/>
      <c r="AF79" s="72"/>
      <c r="AG79" s="37"/>
      <c r="AH79" s="72"/>
      <c r="AI79" s="39"/>
      <c r="AJ79" s="72"/>
      <c r="AK79" s="39"/>
      <c r="AL79" s="72"/>
      <c r="AM79" s="39"/>
      <c r="AN79" s="38"/>
      <c r="AO79" s="72"/>
    </row>
    <row r="80" spans="1:41" x14ac:dyDescent="0.2">
      <c r="A80" s="47" t="s">
        <v>156</v>
      </c>
      <c r="B80" s="47" t="s">
        <v>114</v>
      </c>
      <c r="C80" s="51">
        <f t="shared" si="1"/>
        <v>2</v>
      </c>
      <c r="D80" s="72">
        <v>0</v>
      </c>
      <c r="E80" s="36"/>
      <c r="F80" s="72">
        <v>0</v>
      </c>
      <c r="G80" s="36"/>
      <c r="H80" s="72">
        <v>0</v>
      </c>
      <c r="I80" s="36"/>
      <c r="J80" s="72">
        <v>0</v>
      </c>
      <c r="K80" s="43"/>
      <c r="L80" s="72">
        <v>0</v>
      </c>
      <c r="M80" s="36"/>
      <c r="N80" s="72">
        <v>0</v>
      </c>
      <c r="O80" s="36"/>
      <c r="P80" s="72">
        <v>1</v>
      </c>
      <c r="Q80" s="37" t="s">
        <v>312</v>
      </c>
      <c r="R80" s="72">
        <v>1</v>
      </c>
      <c r="S80" s="37" t="s">
        <v>312</v>
      </c>
      <c r="T80" s="72"/>
      <c r="U80" s="39"/>
      <c r="V80" s="38"/>
      <c r="W80" s="72"/>
      <c r="X80" s="72"/>
      <c r="Y80" s="37"/>
      <c r="Z80" s="35"/>
      <c r="AA80" s="72"/>
      <c r="AB80" s="72"/>
      <c r="AC80" s="39"/>
      <c r="AD80" s="72"/>
      <c r="AE80" s="39"/>
      <c r="AF80" s="72"/>
      <c r="AG80" s="37"/>
      <c r="AH80" s="72"/>
      <c r="AI80" s="39"/>
      <c r="AJ80" s="72"/>
      <c r="AK80" s="39"/>
      <c r="AL80" s="72"/>
      <c r="AM80" s="39"/>
      <c r="AN80" s="38"/>
      <c r="AO80" s="72"/>
    </row>
    <row r="81" spans="1:41" x14ac:dyDescent="0.2">
      <c r="A81" s="47" t="s">
        <v>157</v>
      </c>
      <c r="B81" s="47" t="s">
        <v>58</v>
      </c>
      <c r="C81" s="51">
        <f t="shared" si="1"/>
        <v>0</v>
      </c>
      <c r="D81" s="72">
        <v>0</v>
      </c>
      <c r="E81" s="36"/>
      <c r="F81" s="72">
        <v>0</v>
      </c>
      <c r="G81" s="36"/>
      <c r="H81" s="72">
        <v>0</v>
      </c>
      <c r="I81" s="36"/>
      <c r="J81" s="72">
        <v>0</v>
      </c>
      <c r="K81" s="43"/>
      <c r="L81" s="72">
        <v>0</v>
      </c>
      <c r="M81" s="36"/>
      <c r="N81" s="72">
        <v>0</v>
      </c>
      <c r="O81" s="36"/>
      <c r="P81" s="72">
        <v>0</v>
      </c>
      <c r="Q81" s="37"/>
      <c r="R81" s="72">
        <v>0</v>
      </c>
      <c r="S81" s="37"/>
      <c r="T81" s="72"/>
      <c r="U81" s="39"/>
      <c r="V81" s="38"/>
      <c r="W81" s="72"/>
      <c r="X81" s="72"/>
      <c r="Y81" s="37"/>
      <c r="Z81" s="35"/>
      <c r="AA81" s="72"/>
      <c r="AB81" s="72"/>
      <c r="AC81" s="39"/>
      <c r="AD81" s="72"/>
      <c r="AE81" s="39"/>
      <c r="AF81" s="72"/>
      <c r="AG81" s="37"/>
      <c r="AH81" s="72"/>
      <c r="AI81" s="39"/>
      <c r="AJ81" s="72"/>
      <c r="AK81" s="39"/>
      <c r="AL81" s="72"/>
      <c r="AM81" s="39"/>
      <c r="AN81" s="38"/>
      <c r="AO81" s="72"/>
    </row>
    <row r="82" spans="1:41" x14ac:dyDescent="0.2">
      <c r="A82" s="47" t="s">
        <v>159</v>
      </c>
      <c r="B82" s="47" t="s">
        <v>7</v>
      </c>
      <c r="C82" s="51">
        <f t="shared" si="1"/>
        <v>0</v>
      </c>
      <c r="D82" s="98"/>
      <c r="E82" s="99"/>
      <c r="F82" s="98"/>
      <c r="G82" s="99"/>
      <c r="H82" s="98"/>
      <c r="I82" s="99"/>
      <c r="J82" s="72">
        <v>0</v>
      </c>
      <c r="K82" s="43"/>
      <c r="L82" s="72">
        <v>0</v>
      </c>
      <c r="M82" s="36"/>
      <c r="N82" s="72">
        <v>0</v>
      </c>
      <c r="O82" s="36"/>
      <c r="P82" s="72">
        <v>0</v>
      </c>
      <c r="Q82" s="37"/>
      <c r="R82" s="72">
        <v>0</v>
      </c>
      <c r="S82" s="37"/>
      <c r="T82" s="72"/>
      <c r="U82" s="39"/>
      <c r="V82" s="38"/>
      <c r="W82" s="72"/>
      <c r="X82" s="72"/>
      <c r="Y82" s="37"/>
      <c r="Z82" s="35"/>
      <c r="AA82" s="72"/>
      <c r="AB82" s="72"/>
      <c r="AC82" s="39"/>
      <c r="AD82" s="72"/>
      <c r="AE82" s="39"/>
      <c r="AF82" s="72"/>
      <c r="AG82" s="37"/>
      <c r="AH82" s="72"/>
      <c r="AI82" s="39"/>
      <c r="AJ82" s="72"/>
      <c r="AK82" s="39"/>
      <c r="AL82" s="72"/>
      <c r="AM82" s="39"/>
      <c r="AN82" s="38"/>
      <c r="AO82" s="72"/>
    </row>
    <row r="83" spans="1:41" x14ac:dyDescent="0.2">
      <c r="A83" s="47" t="s">
        <v>160</v>
      </c>
      <c r="B83" s="47" t="s">
        <v>161</v>
      </c>
      <c r="C83" s="51">
        <f t="shared" si="1"/>
        <v>1</v>
      </c>
      <c r="D83" s="98"/>
      <c r="E83" s="99"/>
      <c r="F83" s="98"/>
      <c r="G83" s="99"/>
      <c r="H83" s="72">
        <v>0</v>
      </c>
      <c r="I83" s="36"/>
      <c r="J83" s="72">
        <v>0</v>
      </c>
      <c r="K83" s="43"/>
      <c r="L83" s="72">
        <v>0</v>
      </c>
      <c r="M83" s="36"/>
      <c r="N83" s="72">
        <v>0</v>
      </c>
      <c r="O83" s="36"/>
      <c r="P83" s="72">
        <v>0</v>
      </c>
      <c r="Q83" s="37"/>
      <c r="R83" s="72">
        <v>1</v>
      </c>
      <c r="S83" s="37" t="s">
        <v>264</v>
      </c>
      <c r="T83" s="72"/>
      <c r="U83" s="39"/>
      <c r="V83" s="38"/>
      <c r="W83" s="72"/>
      <c r="X83" s="72"/>
      <c r="Y83" s="37"/>
      <c r="Z83" s="35"/>
      <c r="AA83" s="72"/>
      <c r="AB83" s="72"/>
      <c r="AC83" s="39"/>
      <c r="AD83" s="72"/>
      <c r="AE83" s="39"/>
      <c r="AF83" s="72"/>
      <c r="AG83" s="37"/>
      <c r="AH83" s="72"/>
      <c r="AI83" s="39"/>
      <c r="AJ83" s="72"/>
      <c r="AK83" s="39"/>
      <c r="AL83" s="72"/>
      <c r="AM83" s="39"/>
      <c r="AN83" s="38"/>
      <c r="AO83" s="72"/>
    </row>
    <row r="84" spans="1:41" x14ac:dyDescent="0.2">
      <c r="A84" s="47" t="s">
        <v>162</v>
      </c>
      <c r="B84" s="47" t="s">
        <v>76</v>
      </c>
      <c r="C84" s="51">
        <f t="shared" si="1"/>
        <v>4</v>
      </c>
      <c r="D84" s="72">
        <v>1</v>
      </c>
      <c r="E84" s="36" t="s">
        <v>312</v>
      </c>
      <c r="F84" s="72">
        <v>0</v>
      </c>
      <c r="G84" s="36"/>
      <c r="H84" s="72">
        <v>0</v>
      </c>
      <c r="I84" s="36"/>
      <c r="J84" s="72">
        <v>0</v>
      </c>
      <c r="K84" s="43"/>
      <c r="L84" s="72">
        <v>0</v>
      </c>
      <c r="M84" s="36"/>
      <c r="N84" s="72">
        <v>1</v>
      </c>
      <c r="O84" s="36" t="s">
        <v>258</v>
      </c>
      <c r="P84" s="72">
        <v>1</v>
      </c>
      <c r="Q84" s="37" t="s">
        <v>258</v>
      </c>
      <c r="R84" s="72">
        <v>1</v>
      </c>
      <c r="S84" s="37" t="s">
        <v>258</v>
      </c>
      <c r="T84" s="72"/>
      <c r="U84" s="39"/>
      <c r="V84" s="38"/>
      <c r="W84" s="72"/>
      <c r="X84" s="72"/>
      <c r="Y84" s="37"/>
      <c r="Z84" s="35"/>
      <c r="AA84" s="72"/>
      <c r="AB84" s="72"/>
      <c r="AC84" s="39"/>
      <c r="AD84" s="72"/>
      <c r="AE84" s="39"/>
      <c r="AF84" s="72"/>
      <c r="AG84" s="37"/>
      <c r="AH84" s="72"/>
      <c r="AI84" s="39"/>
      <c r="AJ84" s="72"/>
      <c r="AK84" s="39"/>
      <c r="AL84" s="72"/>
      <c r="AM84" s="39"/>
      <c r="AN84" s="38"/>
      <c r="AO84" s="72"/>
    </row>
    <row r="85" spans="1:41" x14ac:dyDescent="0.2">
      <c r="A85" s="47" t="s">
        <v>163</v>
      </c>
      <c r="B85" s="47" t="s">
        <v>158</v>
      </c>
      <c r="C85" s="51">
        <f t="shared" si="1"/>
        <v>0</v>
      </c>
      <c r="D85" s="98"/>
      <c r="E85" s="99"/>
      <c r="F85" s="98"/>
      <c r="G85" s="99"/>
      <c r="H85" s="98"/>
      <c r="I85" s="99"/>
      <c r="J85" s="98"/>
      <c r="K85" s="100"/>
      <c r="L85" s="98"/>
      <c r="M85" s="99"/>
      <c r="N85" s="72">
        <v>0</v>
      </c>
      <c r="O85" s="36"/>
      <c r="P85" s="72">
        <v>0</v>
      </c>
      <c r="Q85" s="37"/>
      <c r="R85" s="72">
        <v>0</v>
      </c>
      <c r="S85" s="37"/>
      <c r="T85" s="72"/>
      <c r="U85" s="39"/>
      <c r="V85" s="38"/>
      <c r="W85" s="72"/>
      <c r="X85" s="72"/>
      <c r="Y85" s="37"/>
      <c r="Z85" s="35"/>
      <c r="AA85" s="72"/>
      <c r="AB85" s="72"/>
      <c r="AC85" s="39"/>
      <c r="AD85" s="72"/>
      <c r="AE85" s="39"/>
      <c r="AF85" s="72"/>
      <c r="AG85" s="37"/>
      <c r="AH85" s="72"/>
      <c r="AI85" s="39"/>
      <c r="AJ85" s="72"/>
      <c r="AK85" s="39"/>
      <c r="AL85" s="72"/>
      <c r="AM85" s="39"/>
      <c r="AN85" s="38"/>
      <c r="AO85" s="72"/>
    </row>
    <row r="86" spans="1:41" x14ac:dyDescent="0.2">
      <c r="A86" s="47" t="s">
        <v>164</v>
      </c>
      <c r="B86" s="47" t="s">
        <v>165</v>
      </c>
      <c r="C86" s="51">
        <f t="shared" si="1"/>
        <v>0</v>
      </c>
      <c r="D86" s="98"/>
      <c r="E86" s="99"/>
      <c r="F86" s="98"/>
      <c r="G86" s="99"/>
      <c r="H86" s="98"/>
      <c r="I86" s="99"/>
      <c r="J86" s="98"/>
      <c r="K86" s="100"/>
      <c r="L86" s="72">
        <v>0</v>
      </c>
      <c r="M86" s="36"/>
      <c r="N86" s="72">
        <v>0</v>
      </c>
      <c r="O86" s="36"/>
      <c r="P86" s="72">
        <v>0</v>
      </c>
      <c r="Q86" s="37"/>
      <c r="R86" s="72">
        <v>0</v>
      </c>
      <c r="S86" s="37"/>
      <c r="T86" s="72"/>
      <c r="U86" s="39"/>
      <c r="V86" s="38"/>
      <c r="W86" s="72"/>
      <c r="X86" s="72"/>
      <c r="Y86" s="37"/>
      <c r="Z86" s="35"/>
      <c r="AA86" s="72"/>
      <c r="AB86" s="72"/>
      <c r="AC86" s="39"/>
      <c r="AD86" s="72"/>
      <c r="AE86" s="39"/>
      <c r="AF86" s="72"/>
      <c r="AG86" s="37"/>
      <c r="AH86" s="72"/>
      <c r="AI86" s="39"/>
      <c r="AJ86" s="72"/>
      <c r="AK86" s="39"/>
      <c r="AL86" s="72"/>
      <c r="AM86" s="39"/>
      <c r="AN86" s="38"/>
      <c r="AO86" s="72"/>
    </row>
    <row r="87" spans="1:41" x14ac:dyDescent="0.2">
      <c r="A87" s="47" t="s">
        <v>167</v>
      </c>
      <c r="B87" s="47" t="s">
        <v>18</v>
      </c>
      <c r="C87" s="51">
        <f t="shared" si="1"/>
        <v>6</v>
      </c>
      <c r="D87" s="72">
        <v>0</v>
      </c>
      <c r="E87" s="36"/>
      <c r="F87" s="72">
        <v>0</v>
      </c>
      <c r="G87" s="36"/>
      <c r="H87" s="72">
        <v>1</v>
      </c>
      <c r="I87" s="36" t="s">
        <v>286</v>
      </c>
      <c r="J87" s="72">
        <v>1</v>
      </c>
      <c r="K87" s="36" t="s">
        <v>286</v>
      </c>
      <c r="L87" s="72">
        <v>1</v>
      </c>
      <c r="M87" s="36" t="s">
        <v>286</v>
      </c>
      <c r="N87" s="72">
        <v>1</v>
      </c>
      <c r="O87" s="36" t="s">
        <v>286</v>
      </c>
      <c r="P87" s="72">
        <v>1</v>
      </c>
      <c r="Q87" s="36" t="s">
        <v>286</v>
      </c>
      <c r="R87" s="72">
        <v>1</v>
      </c>
      <c r="S87" s="37" t="s">
        <v>286</v>
      </c>
      <c r="T87" s="72"/>
      <c r="U87" s="39"/>
      <c r="V87" s="38"/>
      <c r="W87" s="72"/>
      <c r="X87" s="72"/>
      <c r="Y87" s="37"/>
      <c r="Z87" s="35"/>
      <c r="AA87" s="72"/>
      <c r="AB87" s="72"/>
      <c r="AC87" s="39"/>
      <c r="AD87" s="72"/>
      <c r="AE87" s="39"/>
      <c r="AF87" s="72"/>
      <c r="AG87" s="37"/>
      <c r="AH87" s="72"/>
      <c r="AI87" s="39"/>
      <c r="AJ87" s="72"/>
      <c r="AK87" s="39"/>
      <c r="AL87" s="72"/>
      <c r="AM87" s="39"/>
      <c r="AN87" s="38"/>
      <c r="AO87" s="72"/>
    </row>
    <row r="88" spans="1:41" x14ac:dyDescent="0.2">
      <c r="A88" s="47" t="s">
        <v>168</v>
      </c>
      <c r="B88" s="47" t="s">
        <v>82</v>
      </c>
      <c r="C88" s="51">
        <f t="shared" si="1"/>
        <v>0</v>
      </c>
      <c r="D88" s="98"/>
      <c r="E88" s="99"/>
      <c r="F88" s="98"/>
      <c r="G88" s="99"/>
      <c r="H88" s="98"/>
      <c r="I88" s="99"/>
      <c r="J88" s="98"/>
      <c r="K88" s="100"/>
      <c r="L88" s="98"/>
      <c r="M88" s="99"/>
      <c r="N88" s="98"/>
      <c r="O88" s="99"/>
      <c r="P88" s="72">
        <v>0</v>
      </c>
      <c r="Q88" s="37"/>
      <c r="R88" s="72">
        <v>0</v>
      </c>
      <c r="S88" s="37"/>
      <c r="T88" s="72"/>
      <c r="U88" s="39"/>
      <c r="V88" s="38"/>
      <c r="W88" s="72"/>
      <c r="X88" s="72"/>
      <c r="Y88" s="37"/>
      <c r="Z88" s="35"/>
      <c r="AA88" s="72"/>
      <c r="AB88" s="72"/>
      <c r="AC88" s="39"/>
      <c r="AD88" s="72"/>
      <c r="AE88" s="39"/>
      <c r="AF88" s="72"/>
      <c r="AG88" s="37"/>
      <c r="AH88" s="72"/>
      <c r="AI88" s="39"/>
      <c r="AJ88" s="72"/>
      <c r="AK88" s="39"/>
      <c r="AL88" s="72"/>
      <c r="AM88" s="39"/>
      <c r="AN88" s="38"/>
      <c r="AO88" s="72"/>
    </row>
    <row r="89" spans="1:41" x14ac:dyDescent="0.2">
      <c r="A89" s="47" t="s">
        <v>169</v>
      </c>
      <c r="B89" s="47" t="s">
        <v>155</v>
      </c>
      <c r="C89" s="51">
        <f t="shared" si="1"/>
        <v>6</v>
      </c>
      <c r="D89" s="72">
        <v>1</v>
      </c>
      <c r="E89" s="36" t="s">
        <v>260</v>
      </c>
      <c r="F89" s="72">
        <v>2</v>
      </c>
      <c r="G89" s="36" t="s">
        <v>315</v>
      </c>
      <c r="H89" s="72">
        <v>1</v>
      </c>
      <c r="I89" s="36" t="s">
        <v>243</v>
      </c>
      <c r="J89" s="72">
        <v>1</v>
      </c>
      <c r="K89" s="43" t="s">
        <v>297</v>
      </c>
      <c r="L89" s="72">
        <v>0</v>
      </c>
      <c r="M89" s="36"/>
      <c r="N89" s="72">
        <v>0</v>
      </c>
      <c r="O89" s="36"/>
      <c r="P89" s="72">
        <v>0</v>
      </c>
      <c r="Q89" s="37"/>
      <c r="R89" s="72">
        <v>1</v>
      </c>
      <c r="S89" s="37" t="s">
        <v>243</v>
      </c>
      <c r="T89" s="72"/>
      <c r="U89" s="39"/>
      <c r="V89" s="38"/>
      <c r="W89" s="72"/>
      <c r="X89" s="72"/>
      <c r="Y89" s="37"/>
      <c r="Z89" s="35"/>
      <c r="AA89" s="72"/>
      <c r="AB89" s="72"/>
      <c r="AC89" s="39"/>
      <c r="AD89" s="72"/>
      <c r="AE89" s="39"/>
      <c r="AF89" s="72"/>
      <c r="AG89" s="37"/>
      <c r="AH89" s="72"/>
      <c r="AI89" s="39"/>
      <c r="AJ89" s="72"/>
      <c r="AK89" s="39"/>
      <c r="AL89" s="72"/>
      <c r="AM89" s="39"/>
      <c r="AN89" s="38"/>
      <c r="AO89" s="72"/>
    </row>
    <row r="90" spans="1:41" x14ac:dyDescent="0.2">
      <c r="A90" s="47" t="s">
        <v>170</v>
      </c>
      <c r="B90" s="47" t="s">
        <v>75</v>
      </c>
      <c r="C90" s="51">
        <f t="shared" si="1"/>
        <v>3</v>
      </c>
      <c r="D90" s="98"/>
      <c r="E90" s="99"/>
      <c r="F90" s="72">
        <v>0</v>
      </c>
      <c r="G90" s="36"/>
      <c r="H90" s="72">
        <v>0</v>
      </c>
      <c r="I90" s="36"/>
      <c r="J90" s="72">
        <v>0</v>
      </c>
      <c r="K90" s="43"/>
      <c r="L90" s="72">
        <v>0</v>
      </c>
      <c r="M90" s="36"/>
      <c r="N90" s="72">
        <v>1</v>
      </c>
      <c r="O90" s="36" t="s">
        <v>287</v>
      </c>
      <c r="P90" s="72">
        <v>1</v>
      </c>
      <c r="Q90" s="37" t="s">
        <v>287</v>
      </c>
      <c r="R90" s="72">
        <v>1</v>
      </c>
      <c r="S90" s="37" t="s">
        <v>287</v>
      </c>
      <c r="T90" s="72"/>
      <c r="U90" s="39"/>
      <c r="V90" s="38"/>
      <c r="W90" s="72"/>
      <c r="X90" s="72"/>
      <c r="Y90" s="37"/>
      <c r="Z90" s="35"/>
      <c r="AA90" s="72"/>
      <c r="AB90" s="72"/>
      <c r="AC90" s="39"/>
      <c r="AD90" s="72"/>
      <c r="AE90" s="39"/>
      <c r="AF90" s="72"/>
      <c r="AG90" s="37"/>
      <c r="AH90" s="72"/>
      <c r="AI90" s="39"/>
      <c r="AJ90" s="72"/>
      <c r="AK90" s="39"/>
      <c r="AL90" s="72"/>
      <c r="AM90" s="39"/>
      <c r="AN90" s="38"/>
      <c r="AO90" s="72"/>
    </row>
    <row r="91" spans="1:41" x14ac:dyDescent="0.2">
      <c r="A91" s="47" t="s">
        <v>171</v>
      </c>
      <c r="B91" s="47" t="s">
        <v>172</v>
      </c>
      <c r="C91" s="51">
        <f t="shared" si="1"/>
        <v>0</v>
      </c>
      <c r="D91" s="98"/>
      <c r="E91" s="99"/>
      <c r="F91" s="98"/>
      <c r="G91" s="99"/>
      <c r="H91" s="98"/>
      <c r="I91" s="99"/>
      <c r="J91" s="72">
        <v>0</v>
      </c>
      <c r="K91" s="43"/>
      <c r="L91" s="72">
        <v>0</v>
      </c>
      <c r="M91" s="36"/>
      <c r="N91" s="72">
        <v>0</v>
      </c>
      <c r="O91" s="36"/>
      <c r="P91" s="72">
        <v>0</v>
      </c>
      <c r="Q91" s="37"/>
      <c r="R91" s="72">
        <v>0</v>
      </c>
      <c r="S91" s="37"/>
      <c r="T91" s="72"/>
      <c r="U91" s="39"/>
      <c r="V91" s="38"/>
      <c r="W91" s="72"/>
      <c r="X91" s="72"/>
      <c r="Y91" s="37"/>
      <c r="Z91" s="35"/>
      <c r="AA91" s="72"/>
      <c r="AB91" s="72"/>
      <c r="AC91" s="39"/>
      <c r="AD91" s="72"/>
      <c r="AE91" s="39"/>
      <c r="AF91" s="72"/>
      <c r="AG91" s="37"/>
      <c r="AH91" s="72"/>
      <c r="AI91" s="39"/>
      <c r="AJ91" s="72"/>
      <c r="AK91" s="39"/>
      <c r="AL91" s="72"/>
      <c r="AM91" s="39"/>
      <c r="AN91" s="38"/>
      <c r="AO91" s="72"/>
    </row>
    <row r="92" spans="1:41" x14ac:dyDescent="0.2">
      <c r="A92" s="47" t="s">
        <v>173</v>
      </c>
      <c r="B92" s="47" t="s">
        <v>50</v>
      </c>
      <c r="C92" s="51">
        <f t="shared" si="1"/>
        <v>6</v>
      </c>
      <c r="D92" s="98"/>
      <c r="E92" s="99"/>
      <c r="F92" s="72">
        <v>1</v>
      </c>
      <c r="G92" s="36" t="s">
        <v>316</v>
      </c>
      <c r="H92" s="72">
        <v>1</v>
      </c>
      <c r="I92" s="36" t="s">
        <v>318</v>
      </c>
      <c r="J92" s="72">
        <v>1</v>
      </c>
      <c r="K92" s="36" t="s">
        <v>318</v>
      </c>
      <c r="L92" s="72">
        <v>1</v>
      </c>
      <c r="M92" s="36" t="s">
        <v>318</v>
      </c>
      <c r="N92" s="72">
        <v>1</v>
      </c>
      <c r="O92" s="36" t="s">
        <v>318</v>
      </c>
      <c r="P92" s="72">
        <v>0</v>
      </c>
      <c r="Q92" s="37"/>
      <c r="R92" s="72">
        <v>1</v>
      </c>
      <c r="S92" s="37" t="s">
        <v>318</v>
      </c>
      <c r="T92" s="72"/>
      <c r="U92" s="39"/>
      <c r="V92" s="38"/>
      <c r="W92" s="72"/>
      <c r="X92" s="72"/>
      <c r="Y92" s="37"/>
      <c r="Z92" s="35"/>
      <c r="AA92" s="72"/>
      <c r="AB92" s="72"/>
      <c r="AC92" s="39"/>
      <c r="AD92" s="72"/>
      <c r="AE92" s="39"/>
      <c r="AF92" s="72"/>
      <c r="AG92" s="37"/>
      <c r="AH92" s="72"/>
      <c r="AI92" s="39"/>
      <c r="AJ92" s="72"/>
      <c r="AK92" s="39"/>
      <c r="AL92" s="72"/>
      <c r="AM92" s="39"/>
      <c r="AN92" s="38"/>
      <c r="AO92" s="72"/>
    </row>
    <row r="93" spans="1:41" x14ac:dyDescent="0.2">
      <c r="A93" s="118" t="s">
        <v>4</v>
      </c>
      <c r="B93" s="118" t="s">
        <v>5</v>
      </c>
      <c r="C93" s="119">
        <f t="shared" ref="C93:C101" si="2">SUM(D93+F93+H93+L93+N93+P93+R93+T93+V93+X93+Z93+AB93+AD93+AF93+AH93+AJ93+AL93+AN93)</f>
        <v>0</v>
      </c>
      <c r="D93" s="94"/>
      <c r="E93" s="95"/>
      <c r="F93" s="94"/>
      <c r="G93" s="95"/>
      <c r="H93" s="94"/>
      <c r="I93" s="95"/>
      <c r="J93" s="94"/>
      <c r="K93" s="96"/>
      <c r="L93" s="94"/>
      <c r="M93" s="95"/>
      <c r="N93" s="94"/>
      <c r="O93" s="95"/>
      <c r="P93" s="94"/>
      <c r="Q93" s="97"/>
      <c r="R93" s="94"/>
      <c r="S93" s="97"/>
      <c r="T93" s="72"/>
      <c r="U93" s="39"/>
      <c r="V93" s="38"/>
      <c r="W93" s="72"/>
      <c r="X93" s="72"/>
      <c r="Y93" s="37"/>
      <c r="Z93" s="35"/>
      <c r="AA93" s="72"/>
      <c r="AB93" s="72"/>
      <c r="AC93" s="39"/>
      <c r="AD93" s="72"/>
      <c r="AE93" s="39"/>
      <c r="AF93" s="72"/>
      <c r="AG93" s="37"/>
      <c r="AH93" s="72"/>
      <c r="AI93" s="39"/>
      <c r="AJ93" s="72"/>
      <c r="AK93" s="39"/>
      <c r="AL93" s="72"/>
      <c r="AM93" s="39"/>
      <c r="AN93" s="38"/>
      <c r="AO93" s="72"/>
    </row>
    <row r="94" spans="1:41" x14ac:dyDescent="0.2">
      <c r="A94" s="118" t="s">
        <v>29</v>
      </c>
      <c r="B94" s="118" t="s">
        <v>30</v>
      </c>
      <c r="C94" s="119">
        <f t="shared" si="2"/>
        <v>0</v>
      </c>
      <c r="D94" s="94"/>
      <c r="E94" s="95"/>
      <c r="F94" s="94"/>
      <c r="G94" s="95"/>
      <c r="H94" s="94"/>
      <c r="I94" s="95"/>
      <c r="J94" s="94"/>
      <c r="K94" s="96"/>
      <c r="L94" s="94"/>
      <c r="M94" s="95"/>
      <c r="N94" s="94"/>
      <c r="O94" s="95"/>
      <c r="P94" s="94"/>
      <c r="Q94" s="97"/>
      <c r="R94" s="94"/>
      <c r="S94" s="97"/>
      <c r="T94" s="72"/>
      <c r="U94" s="39"/>
      <c r="V94" s="38"/>
      <c r="W94" s="72"/>
      <c r="X94" s="72"/>
      <c r="Y94" s="37"/>
      <c r="Z94" s="35"/>
      <c r="AA94" s="72"/>
      <c r="AB94" s="72"/>
      <c r="AC94" s="39"/>
      <c r="AD94" s="72"/>
      <c r="AE94" s="39"/>
      <c r="AF94" s="72"/>
      <c r="AG94" s="37"/>
      <c r="AH94" s="72"/>
      <c r="AI94" s="39"/>
      <c r="AJ94" s="72"/>
      <c r="AK94" s="39"/>
      <c r="AL94" s="72"/>
      <c r="AM94" s="39"/>
      <c r="AN94" s="38"/>
      <c r="AO94" s="72"/>
    </row>
    <row r="95" spans="1:41" x14ac:dyDescent="0.2">
      <c r="A95" s="118" t="s">
        <v>42</v>
      </c>
      <c r="B95" s="118" t="s">
        <v>43</v>
      </c>
      <c r="C95" s="119">
        <f t="shared" si="2"/>
        <v>0</v>
      </c>
      <c r="D95" s="94"/>
      <c r="E95" s="95"/>
      <c r="F95" s="94"/>
      <c r="G95" s="95"/>
      <c r="H95" s="94"/>
      <c r="I95" s="95"/>
      <c r="J95" s="94"/>
      <c r="K95" s="96"/>
      <c r="L95" s="94"/>
      <c r="M95" s="95"/>
      <c r="N95" s="94"/>
      <c r="O95" s="95"/>
      <c r="P95" s="94"/>
      <c r="Q95" s="97"/>
      <c r="R95" s="94"/>
      <c r="S95" s="97"/>
      <c r="T95" s="72"/>
      <c r="U95" s="39"/>
      <c r="V95" s="38"/>
      <c r="W95" s="72"/>
      <c r="X95" s="72"/>
      <c r="Y95" s="37"/>
      <c r="Z95" s="35"/>
      <c r="AA95" s="72"/>
      <c r="AB95" s="72"/>
      <c r="AC95" s="39"/>
      <c r="AD95" s="72"/>
      <c r="AE95" s="39"/>
      <c r="AF95" s="72"/>
      <c r="AG95" s="37"/>
      <c r="AH95" s="72"/>
      <c r="AI95" s="39"/>
      <c r="AJ95" s="72"/>
      <c r="AK95" s="39"/>
      <c r="AL95" s="72"/>
      <c r="AM95" s="39"/>
      <c r="AN95" s="38"/>
      <c r="AO95" s="72"/>
    </row>
    <row r="96" spans="1:41" x14ac:dyDescent="0.2">
      <c r="A96" s="118" t="s">
        <v>66</v>
      </c>
      <c r="B96" s="118" t="s">
        <v>67</v>
      </c>
      <c r="C96" s="119">
        <f t="shared" si="2"/>
        <v>0</v>
      </c>
      <c r="D96" s="94"/>
      <c r="E96" s="95"/>
      <c r="F96" s="94"/>
      <c r="G96" s="95"/>
      <c r="H96" s="94"/>
      <c r="I96" s="95"/>
      <c r="J96" s="94"/>
      <c r="K96" s="96"/>
      <c r="L96" s="94"/>
      <c r="M96" s="95"/>
      <c r="N96" s="94"/>
      <c r="O96" s="95"/>
      <c r="P96" s="94"/>
      <c r="Q96" s="97"/>
      <c r="R96" s="94"/>
      <c r="S96" s="97"/>
      <c r="T96" s="72"/>
      <c r="U96" s="39"/>
      <c r="V96" s="38"/>
      <c r="W96" s="72"/>
      <c r="X96" s="72"/>
      <c r="Y96" s="37"/>
      <c r="Z96" s="35"/>
      <c r="AA96" s="72"/>
      <c r="AB96" s="72"/>
      <c r="AC96" s="39"/>
      <c r="AD96" s="72"/>
      <c r="AE96" s="39"/>
      <c r="AF96" s="72"/>
      <c r="AG96" s="37"/>
      <c r="AH96" s="72"/>
      <c r="AI96" s="39"/>
      <c r="AJ96" s="72"/>
      <c r="AK96" s="39"/>
      <c r="AL96" s="72"/>
      <c r="AM96" s="39"/>
      <c r="AN96" s="38"/>
      <c r="AO96" s="72"/>
    </row>
    <row r="97" spans="1:41" x14ac:dyDescent="0.2">
      <c r="A97" s="118" t="s">
        <v>106</v>
      </c>
      <c r="B97" s="118" t="s">
        <v>107</v>
      </c>
      <c r="C97" s="119">
        <f t="shared" si="2"/>
        <v>0</v>
      </c>
      <c r="D97" s="94"/>
      <c r="E97" s="95"/>
      <c r="F97" s="94"/>
      <c r="G97" s="95"/>
      <c r="H97" s="94"/>
      <c r="I97" s="95"/>
      <c r="J97" s="94"/>
      <c r="K97" s="96"/>
      <c r="L97" s="94"/>
      <c r="M97" s="95"/>
      <c r="N97" s="94"/>
      <c r="O97" s="95"/>
      <c r="P97" s="94"/>
      <c r="Q97" s="97"/>
      <c r="R97" s="94"/>
      <c r="S97" s="97"/>
      <c r="T97" s="72"/>
      <c r="U97" s="39"/>
      <c r="V97" s="38"/>
      <c r="W97" s="72"/>
      <c r="X97" s="72"/>
      <c r="Y97" s="37"/>
      <c r="Z97" s="35"/>
      <c r="AA97" s="72"/>
      <c r="AB97" s="72"/>
      <c r="AC97" s="39"/>
      <c r="AD97" s="72"/>
      <c r="AE97" s="39"/>
      <c r="AF97" s="72"/>
      <c r="AG97" s="37"/>
      <c r="AH97" s="72"/>
      <c r="AI97" s="39"/>
      <c r="AJ97" s="72"/>
      <c r="AK97" s="39"/>
      <c r="AL97" s="72"/>
      <c r="AM97" s="39"/>
      <c r="AN97" s="38"/>
      <c r="AO97" s="72"/>
    </row>
    <row r="98" spans="1:41" x14ac:dyDescent="0.2">
      <c r="A98" s="118" t="s">
        <v>142</v>
      </c>
      <c r="B98" s="118" t="s">
        <v>139</v>
      </c>
      <c r="C98" s="119">
        <f t="shared" si="2"/>
        <v>0</v>
      </c>
      <c r="D98" s="94"/>
      <c r="E98" s="95"/>
      <c r="F98" s="94"/>
      <c r="G98" s="95"/>
      <c r="H98" s="94"/>
      <c r="I98" s="95"/>
      <c r="J98" s="94"/>
      <c r="K98" s="96"/>
      <c r="L98" s="94"/>
      <c r="M98" s="95"/>
      <c r="N98" s="94"/>
      <c r="O98" s="95"/>
      <c r="P98" s="94"/>
      <c r="Q98" s="97"/>
      <c r="R98" s="94"/>
      <c r="S98" s="97"/>
      <c r="T98" s="72"/>
      <c r="U98" s="39"/>
      <c r="V98" s="38"/>
      <c r="W98" s="72"/>
      <c r="X98" s="72"/>
      <c r="Y98" s="37"/>
      <c r="Z98" s="35"/>
      <c r="AA98" s="72"/>
      <c r="AB98" s="72"/>
      <c r="AC98" s="39"/>
      <c r="AD98" s="72"/>
      <c r="AE98" s="39"/>
      <c r="AF98" s="72"/>
      <c r="AG98" s="37"/>
      <c r="AH98" s="72"/>
      <c r="AI98" s="39"/>
      <c r="AJ98" s="72"/>
      <c r="AK98" s="39"/>
      <c r="AL98" s="72"/>
      <c r="AM98" s="39"/>
      <c r="AN98" s="38"/>
      <c r="AO98" s="72"/>
    </row>
    <row r="99" spans="1:41" x14ac:dyDescent="0.2">
      <c r="A99" s="118" t="s">
        <v>142</v>
      </c>
      <c r="B99" s="118" t="s">
        <v>143</v>
      </c>
      <c r="C99" s="119">
        <f t="shared" si="2"/>
        <v>0</v>
      </c>
      <c r="D99" s="94"/>
      <c r="E99" s="95"/>
      <c r="F99" s="94"/>
      <c r="G99" s="95"/>
      <c r="H99" s="94"/>
      <c r="I99" s="95"/>
      <c r="J99" s="94"/>
      <c r="K99" s="96"/>
      <c r="L99" s="94"/>
      <c r="M99" s="95"/>
      <c r="N99" s="94"/>
      <c r="O99" s="95"/>
      <c r="P99" s="94"/>
      <c r="Q99" s="97"/>
      <c r="R99" s="94"/>
      <c r="S99" s="97"/>
      <c r="T99" s="72"/>
      <c r="U99" s="39"/>
      <c r="V99" s="38"/>
      <c r="W99" s="72"/>
      <c r="X99" s="72"/>
      <c r="Y99" s="37"/>
      <c r="Z99" s="35"/>
      <c r="AA99" s="72"/>
      <c r="AB99" s="72"/>
      <c r="AC99" s="39"/>
      <c r="AD99" s="72"/>
      <c r="AE99" s="39"/>
      <c r="AF99" s="72"/>
      <c r="AG99" s="37"/>
      <c r="AH99" s="72"/>
      <c r="AI99" s="39"/>
      <c r="AJ99" s="72"/>
      <c r="AK99" s="39"/>
      <c r="AL99" s="72"/>
      <c r="AM99" s="39"/>
      <c r="AN99" s="38"/>
      <c r="AO99" s="72"/>
    </row>
    <row r="100" spans="1:41" x14ac:dyDescent="0.2">
      <c r="A100" s="118" t="s">
        <v>145</v>
      </c>
      <c r="B100" s="118" t="s">
        <v>146</v>
      </c>
      <c r="C100" s="119">
        <f t="shared" si="2"/>
        <v>0</v>
      </c>
      <c r="D100" s="94"/>
      <c r="E100" s="95"/>
      <c r="F100" s="94"/>
      <c r="G100" s="95"/>
      <c r="H100" s="94"/>
      <c r="I100" s="95"/>
      <c r="J100" s="94"/>
      <c r="K100" s="96"/>
      <c r="L100" s="94"/>
      <c r="M100" s="95"/>
      <c r="N100" s="94"/>
      <c r="O100" s="95"/>
      <c r="P100" s="94"/>
      <c r="Q100" s="97"/>
      <c r="R100" s="94"/>
      <c r="S100" s="97"/>
      <c r="T100" s="72"/>
      <c r="U100" s="39"/>
      <c r="V100" s="38"/>
      <c r="W100" s="72"/>
      <c r="X100" s="72"/>
      <c r="Y100" s="37"/>
      <c r="Z100" s="35"/>
      <c r="AA100" s="72"/>
      <c r="AB100" s="72"/>
      <c r="AC100" s="39"/>
      <c r="AD100" s="72"/>
      <c r="AE100" s="39"/>
      <c r="AF100" s="72"/>
      <c r="AG100" s="37"/>
      <c r="AH100" s="72"/>
      <c r="AI100" s="39"/>
      <c r="AJ100" s="72"/>
      <c r="AK100" s="39"/>
      <c r="AL100" s="72"/>
      <c r="AM100" s="39"/>
      <c r="AN100" s="38"/>
      <c r="AO100" s="72"/>
    </row>
    <row r="101" spans="1:41" x14ac:dyDescent="0.2">
      <c r="A101" s="118" t="s">
        <v>166</v>
      </c>
      <c r="B101" s="118" t="s">
        <v>84</v>
      </c>
      <c r="C101" s="119">
        <f t="shared" si="2"/>
        <v>0</v>
      </c>
      <c r="D101" s="124"/>
      <c r="E101" s="125"/>
      <c r="F101" s="124"/>
      <c r="G101" s="125"/>
      <c r="H101" s="124"/>
      <c r="I101" s="125"/>
      <c r="J101" s="124"/>
      <c r="K101" s="126"/>
      <c r="L101" s="124"/>
      <c r="M101" s="125"/>
      <c r="N101" s="124"/>
      <c r="O101" s="95"/>
      <c r="P101" s="124"/>
      <c r="Q101" s="97"/>
      <c r="R101" s="124"/>
      <c r="S101" s="97"/>
      <c r="T101" s="73"/>
      <c r="U101" s="39"/>
      <c r="V101" s="38"/>
      <c r="W101" s="73"/>
      <c r="X101" s="73"/>
      <c r="Y101" s="37"/>
      <c r="Z101" s="35"/>
      <c r="AA101" s="73"/>
      <c r="AB101" s="73"/>
      <c r="AC101" s="39"/>
      <c r="AD101" s="73"/>
      <c r="AE101" s="39"/>
      <c r="AF101" s="73"/>
      <c r="AG101" s="37"/>
      <c r="AH101" s="73"/>
      <c r="AI101" s="39"/>
      <c r="AJ101" s="73"/>
      <c r="AK101" s="39"/>
      <c r="AL101" s="73"/>
      <c r="AM101" s="39"/>
      <c r="AN101" s="38"/>
      <c r="AO101" s="73"/>
    </row>
    <row r="102" spans="1:41" x14ac:dyDescent="0.2">
      <c r="N102" s="42"/>
      <c r="O102" s="43"/>
      <c r="P102" s="43"/>
      <c r="Q102" s="42"/>
      <c r="R102" s="42"/>
      <c r="S102" s="42"/>
      <c r="T102" s="44"/>
      <c r="U102" s="45"/>
      <c r="V102" s="44"/>
      <c r="W102" s="45"/>
      <c r="X102" s="43"/>
      <c r="Y102" s="42"/>
      <c r="Z102" s="42"/>
      <c r="AA102" s="42"/>
      <c r="AB102" s="44"/>
      <c r="AC102" s="45"/>
      <c r="AD102" s="44"/>
      <c r="AE102" s="45"/>
      <c r="AF102" s="42"/>
      <c r="AG102" s="42"/>
      <c r="AH102" s="44"/>
      <c r="AI102" s="45"/>
      <c r="AJ102" s="44"/>
      <c r="AK102" s="45"/>
      <c r="AL102" s="44"/>
      <c r="AM102" s="45"/>
      <c r="AN102" s="44"/>
      <c r="AO102" s="45"/>
    </row>
  </sheetData>
  <sortState xmlns:xlrd2="http://schemas.microsoft.com/office/spreadsheetml/2017/richdata2" ref="AQ11:AR43">
    <sortCondition ref="AQ11:AQ43"/>
  </sortState>
  <mergeCells count="19">
    <mergeCell ref="AF1:AG1"/>
    <mergeCell ref="AH1:AI1"/>
    <mergeCell ref="AJ1:AK1"/>
    <mergeCell ref="AQ2:AR2"/>
    <mergeCell ref="F1:G1"/>
    <mergeCell ref="AL1:AM1"/>
    <mergeCell ref="AN1:AO1"/>
    <mergeCell ref="Z1:AA1"/>
    <mergeCell ref="AB1:AC1"/>
    <mergeCell ref="AD1:AE1"/>
    <mergeCell ref="D1:E1"/>
    <mergeCell ref="V1:W1"/>
    <mergeCell ref="X1:Y1"/>
    <mergeCell ref="N1:O1"/>
    <mergeCell ref="P1:Q1"/>
    <mergeCell ref="R1:S1"/>
    <mergeCell ref="T1:U1"/>
    <mergeCell ref="L1:M1"/>
    <mergeCell ref="H1:I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34C2-136A-4C52-A7B6-47B903B95368}">
  <dimension ref="A1:AC101"/>
  <sheetViews>
    <sheetView workbookViewId="0">
      <pane ySplit="1" topLeftCell="A5" activePane="bottomLeft" state="frozen"/>
      <selection pane="bottomLeft" activeCell="AE17" sqref="AE17"/>
    </sheetView>
  </sheetViews>
  <sheetFormatPr defaultRowHeight="14.25" x14ac:dyDescent="0.2"/>
  <cols>
    <col min="3" max="3" width="10.625" hidden="1" customWidth="1"/>
    <col min="4" max="4" width="9" style="88"/>
    <col min="5" max="5" width="9" style="19"/>
    <col min="6" max="10" width="9" style="54" customWidth="1"/>
    <col min="11" max="26" width="9" style="17" hidden="1" customWidth="1"/>
    <col min="27" max="27" width="1.75" style="17" customWidth="1"/>
    <col min="28" max="28" width="9" style="17"/>
  </cols>
  <sheetData>
    <row r="1" spans="1:29" s="82" customFormat="1" ht="15.95" customHeight="1" x14ac:dyDescent="0.2">
      <c r="A1" s="61" t="s">
        <v>177</v>
      </c>
      <c r="B1" s="61" t="s">
        <v>178</v>
      </c>
      <c r="C1" s="61"/>
      <c r="D1" s="84" t="s">
        <v>192</v>
      </c>
      <c r="E1" s="80" t="s">
        <v>196</v>
      </c>
      <c r="F1" s="81">
        <v>2019</v>
      </c>
      <c r="G1" s="81">
        <v>2021</v>
      </c>
      <c r="H1" s="81">
        <v>2022</v>
      </c>
      <c r="I1" s="81">
        <v>2023</v>
      </c>
      <c r="J1" s="81">
        <v>2024</v>
      </c>
      <c r="K1" s="81">
        <v>2025</v>
      </c>
      <c r="L1" s="81">
        <v>2026</v>
      </c>
      <c r="M1" s="81">
        <v>2027</v>
      </c>
      <c r="N1" s="81">
        <v>2028</v>
      </c>
      <c r="O1" s="81">
        <v>2029</v>
      </c>
      <c r="P1" s="81">
        <v>2030</v>
      </c>
      <c r="Q1" s="81">
        <v>2031</v>
      </c>
      <c r="R1" s="81">
        <v>2032</v>
      </c>
      <c r="S1" s="81">
        <v>2033</v>
      </c>
      <c r="T1" s="81">
        <v>2034</v>
      </c>
      <c r="U1" s="81">
        <v>2035</v>
      </c>
      <c r="V1" s="81">
        <v>2036</v>
      </c>
      <c r="W1" s="81">
        <v>2037</v>
      </c>
      <c r="X1" s="81">
        <v>2038</v>
      </c>
      <c r="Y1" s="81">
        <v>2039</v>
      </c>
      <c r="Z1" s="81">
        <v>2040</v>
      </c>
      <c r="AA1" s="127"/>
      <c r="AB1" s="17"/>
    </row>
    <row r="2" spans="1:29" x14ac:dyDescent="0.2">
      <c r="A2" t="s">
        <v>1</v>
      </c>
      <c r="B2" t="s">
        <v>2</v>
      </c>
      <c r="C2" t="str">
        <f>A2&amp;""&amp;B2</f>
        <v>AbeytaTim</v>
      </c>
      <c r="D2" s="86">
        <f>SUM(F2:Z2)</f>
        <v>46555</v>
      </c>
      <c r="E2" s="57">
        <f>AVERAGE(F2:Z2)</f>
        <v>9311</v>
      </c>
      <c r="F2" s="54">
        <v>4780</v>
      </c>
      <c r="G2" s="54">
        <v>3765</v>
      </c>
      <c r="H2" s="54">
        <v>13960</v>
      </c>
      <c r="I2" s="54">
        <v>16400</v>
      </c>
      <c r="J2" s="54">
        <v>7650</v>
      </c>
      <c r="AA2" s="128"/>
      <c r="AC2" s="17"/>
    </row>
    <row r="3" spans="1:29" x14ac:dyDescent="0.2">
      <c r="A3" t="s">
        <v>6</v>
      </c>
      <c r="B3" t="s">
        <v>7</v>
      </c>
      <c r="C3" t="str">
        <f t="shared" ref="C3:C66" si="0">A3&amp;""&amp;B3</f>
        <v>AmadoGreg</v>
      </c>
      <c r="D3" s="86">
        <f t="shared" ref="D3:D65" si="1">SUM(F3:Z3)</f>
        <v>18985</v>
      </c>
      <c r="E3" s="57">
        <f t="shared" ref="E3:E66" si="2">AVERAGE(F3:Z3)</f>
        <v>3797</v>
      </c>
      <c r="F3" s="54">
        <v>3500</v>
      </c>
      <c r="G3" s="54">
        <v>7100</v>
      </c>
      <c r="H3" s="54">
        <v>2700</v>
      </c>
      <c r="I3" s="54">
        <v>2185</v>
      </c>
      <c r="J3" s="54">
        <v>3500</v>
      </c>
      <c r="AA3" s="128"/>
      <c r="AC3" s="17"/>
    </row>
    <row r="4" spans="1:29" x14ac:dyDescent="0.2">
      <c r="A4" t="s">
        <v>10</v>
      </c>
      <c r="B4" t="s">
        <v>11</v>
      </c>
      <c r="C4" t="str">
        <f t="shared" si="0"/>
        <v>BaderScott</v>
      </c>
      <c r="D4" s="86">
        <f t="shared" si="1"/>
        <v>16420</v>
      </c>
      <c r="E4" s="57">
        <f t="shared" si="2"/>
        <v>8210</v>
      </c>
      <c r="F4" s="53" t="s">
        <v>191</v>
      </c>
      <c r="G4" s="53" t="s">
        <v>191</v>
      </c>
      <c r="H4" s="53" t="s">
        <v>191</v>
      </c>
      <c r="I4" s="54">
        <v>7370</v>
      </c>
      <c r="J4" s="54">
        <v>9050</v>
      </c>
      <c r="AA4" s="128"/>
      <c r="AC4" s="17"/>
    </row>
    <row r="5" spans="1:29" x14ac:dyDescent="0.2">
      <c r="A5" t="s">
        <v>12</v>
      </c>
      <c r="B5" t="s">
        <v>13</v>
      </c>
      <c r="C5" t="str">
        <f t="shared" si="0"/>
        <v>BailliereLarry</v>
      </c>
      <c r="D5" s="86">
        <f>SUM(F5:Z5)</f>
        <v>18775</v>
      </c>
      <c r="E5" s="57">
        <f t="shared" si="2"/>
        <v>3755</v>
      </c>
      <c r="F5" s="54">
        <v>3225</v>
      </c>
      <c r="G5" s="54">
        <v>2300</v>
      </c>
      <c r="H5" s="54">
        <v>4050</v>
      </c>
      <c r="I5" s="54">
        <v>3850</v>
      </c>
      <c r="J5" s="54">
        <v>5350</v>
      </c>
      <c r="AA5" s="128"/>
      <c r="AC5" s="17"/>
    </row>
    <row r="6" spans="1:29" x14ac:dyDescent="0.2">
      <c r="A6" t="s">
        <v>14</v>
      </c>
      <c r="B6" t="s">
        <v>15</v>
      </c>
      <c r="C6" t="str">
        <f t="shared" si="0"/>
        <v>BedientKevin</v>
      </c>
      <c r="D6" s="86">
        <f t="shared" si="1"/>
        <v>106885</v>
      </c>
      <c r="E6" s="57">
        <f t="shared" si="2"/>
        <v>21377</v>
      </c>
      <c r="F6" s="54">
        <v>12150</v>
      </c>
      <c r="G6" s="54">
        <v>12460</v>
      </c>
      <c r="H6" s="54">
        <v>36075</v>
      </c>
      <c r="I6" s="54">
        <v>20900</v>
      </c>
      <c r="J6" s="54">
        <v>25300</v>
      </c>
      <c r="AA6" s="128"/>
      <c r="AC6" s="17"/>
    </row>
    <row r="7" spans="1:29" x14ac:dyDescent="0.2">
      <c r="A7" t="s">
        <v>16</v>
      </c>
      <c r="B7" t="s">
        <v>17</v>
      </c>
      <c r="C7" t="str">
        <f t="shared" si="0"/>
        <v>BegodyAdam</v>
      </c>
      <c r="D7" s="86">
        <f t="shared" si="1"/>
        <v>17745</v>
      </c>
      <c r="E7" s="57">
        <f t="shared" si="2"/>
        <v>4436.25</v>
      </c>
      <c r="F7" s="54" t="s">
        <v>191</v>
      </c>
      <c r="G7" s="54">
        <v>4630</v>
      </c>
      <c r="H7" s="54">
        <v>6090</v>
      </c>
      <c r="I7" s="54">
        <v>3500</v>
      </c>
      <c r="J7" s="54">
        <v>3525</v>
      </c>
      <c r="AA7" s="128"/>
      <c r="AC7" s="17"/>
    </row>
    <row r="8" spans="1:29" x14ac:dyDescent="0.2">
      <c r="A8" t="s">
        <v>19</v>
      </c>
      <c r="B8" t="s">
        <v>20</v>
      </c>
      <c r="C8" t="str">
        <f t="shared" si="0"/>
        <v>BrewsterChris</v>
      </c>
      <c r="D8" s="86">
        <f t="shared" si="1"/>
        <v>35660</v>
      </c>
      <c r="E8" s="57">
        <f t="shared" si="2"/>
        <v>8915</v>
      </c>
      <c r="F8" s="54" t="s">
        <v>191</v>
      </c>
      <c r="G8" s="54">
        <v>7515</v>
      </c>
      <c r="H8" s="54">
        <v>6920</v>
      </c>
      <c r="I8" s="54">
        <v>10400</v>
      </c>
      <c r="J8" s="54">
        <v>10825</v>
      </c>
      <c r="AA8" s="128"/>
      <c r="AC8" s="17"/>
    </row>
    <row r="9" spans="1:29" x14ac:dyDescent="0.2">
      <c r="A9" t="s">
        <v>21</v>
      </c>
      <c r="B9" t="s">
        <v>22</v>
      </c>
      <c r="C9" t="str">
        <f t="shared" si="0"/>
        <v>BrownAndy</v>
      </c>
      <c r="D9" s="86">
        <f t="shared" si="1"/>
        <v>81255</v>
      </c>
      <c r="E9" s="57">
        <f t="shared" si="2"/>
        <v>16251</v>
      </c>
      <c r="F9" s="54">
        <v>3575</v>
      </c>
      <c r="G9" s="54">
        <v>4155</v>
      </c>
      <c r="H9" s="54">
        <v>4350</v>
      </c>
      <c r="I9" s="54">
        <v>5050</v>
      </c>
      <c r="J9" s="54">
        <v>64125</v>
      </c>
      <c r="AA9" s="128"/>
      <c r="AC9" s="17"/>
    </row>
    <row r="10" spans="1:29" x14ac:dyDescent="0.2">
      <c r="A10" t="s">
        <v>24</v>
      </c>
      <c r="B10" t="s">
        <v>25</v>
      </c>
      <c r="C10" t="str">
        <f t="shared" si="0"/>
        <v>BurnettBrian</v>
      </c>
      <c r="D10" s="86">
        <f t="shared" si="1"/>
        <v>4500</v>
      </c>
      <c r="E10" s="57">
        <f t="shared" si="2"/>
        <v>4500</v>
      </c>
      <c r="F10" s="54" t="s">
        <v>191</v>
      </c>
      <c r="G10" s="54" t="s">
        <v>191</v>
      </c>
      <c r="H10" s="54" t="s">
        <v>191</v>
      </c>
      <c r="I10" s="54" t="s">
        <v>191</v>
      </c>
      <c r="J10" s="54">
        <v>4500</v>
      </c>
      <c r="AA10" s="128"/>
      <c r="AC10" s="17"/>
    </row>
    <row r="11" spans="1:29" x14ac:dyDescent="0.2">
      <c r="A11" t="s">
        <v>26</v>
      </c>
      <c r="B11" t="s">
        <v>8</v>
      </c>
      <c r="C11" t="str">
        <f t="shared" si="0"/>
        <v>CaldwellDennis</v>
      </c>
      <c r="D11" s="86">
        <f t="shared" si="1"/>
        <v>27800</v>
      </c>
      <c r="E11" s="57">
        <f t="shared" si="2"/>
        <v>5560</v>
      </c>
      <c r="F11" s="54">
        <v>4725</v>
      </c>
      <c r="G11" s="54">
        <v>4325</v>
      </c>
      <c r="H11" s="54">
        <v>3750</v>
      </c>
      <c r="I11" s="54">
        <v>6000</v>
      </c>
      <c r="J11" s="54">
        <v>9000</v>
      </c>
      <c r="AA11" s="128"/>
      <c r="AC11" s="17"/>
    </row>
    <row r="12" spans="1:29" x14ac:dyDescent="0.2">
      <c r="A12" t="s">
        <v>27</v>
      </c>
      <c r="B12" t="s">
        <v>28</v>
      </c>
      <c r="C12" t="str">
        <f t="shared" si="0"/>
        <v>CarneyChad</v>
      </c>
      <c r="D12" s="86">
        <f t="shared" si="1"/>
        <v>37900</v>
      </c>
      <c r="E12" s="57">
        <f t="shared" si="2"/>
        <v>7580</v>
      </c>
      <c r="F12" s="54">
        <v>6060</v>
      </c>
      <c r="G12" s="54">
        <v>3090</v>
      </c>
      <c r="H12" s="54">
        <v>11250</v>
      </c>
      <c r="I12" s="54">
        <v>8200</v>
      </c>
      <c r="J12" s="54">
        <v>9300</v>
      </c>
      <c r="AA12" s="128"/>
      <c r="AC12" s="17"/>
    </row>
    <row r="13" spans="1:29" x14ac:dyDescent="0.2">
      <c r="A13" t="s">
        <v>32</v>
      </c>
      <c r="B13" t="s">
        <v>18</v>
      </c>
      <c r="C13" t="str">
        <f t="shared" si="0"/>
        <v>CenskyMike</v>
      </c>
      <c r="D13" s="86">
        <f t="shared" si="1"/>
        <v>329775</v>
      </c>
      <c r="E13" s="57">
        <f t="shared" si="2"/>
        <v>82443.75</v>
      </c>
      <c r="F13" s="54" t="s">
        <v>191</v>
      </c>
      <c r="G13" s="54">
        <v>67125</v>
      </c>
      <c r="H13" s="54">
        <v>73200</v>
      </c>
      <c r="I13" s="54">
        <v>107050</v>
      </c>
      <c r="J13" s="54">
        <v>82400</v>
      </c>
      <c r="AA13" s="128"/>
      <c r="AC13" s="17"/>
    </row>
    <row r="14" spans="1:29" x14ac:dyDescent="0.2">
      <c r="A14" t="s">
        <v>33</v>
      </c>
      <c r="B14" t="s">
        <v>17</v>
      </c>
      <c r="C14" t="str">
        <f t="shared" si="0"/>
        <v>ChurchillAdam</v>
      </c>
      <c r="D14" s="86">
        <f t="shared" si="1"/>
        <v>13025</v>
      </c>
      <c r="E14" s="57">
        <f t="shared" si="2"/>
        <v>3256.25</v>
      </c>
      <c r="F14" s="54" t="s">
        <v>191</v>
      </c>
      <c r="G14" s="54">
        <v>3475</v>
      </c>
      <c r="H14" s="54">
        <v>2500</v>
      </c>
      <c r="I14" s="54">
        <v>3500</v>
      </c>
      <c r="J14" s="54">
        <v>3550</v>
      </c>
      <c r="AA14" s="128"/>
      <c r="AC14" s="17"/>
    </row>
    <row r="15" spans="1:29" x14ac:dyDescent="0.2">
      <c r="A15" t="s">
        <v>34</v>
      </c>
      <c r="B15" t="s">
        <v>35</v>
      </c>
      <c r="C15" t="str">
        <f t="shared" si="0"/>
        <v>ClarkAndrew</v>
      </c>
      <c r="D15" s="86">
        <f t="shared" si="1"/>
        <v>16100</v>
      </c>
      <c r="E15" s="57">
        <f t="shared" si="2"/>
        <v>3220</v>
      </c>
      <c r="F15" s="54">
        <v>2400</v>
      </c>
      <c r="G15" s="54">
        <v>1900</v>
      </c>
      <c r="H15" s="54">
        <v>3000</v>
      </c>
      <c r="I15" s="54">
        <v>5100</v>
      </c>
      <c r="J15" s="54">
        <v>3700</v>
      </c>
      <c r="AA15" s="128"/>
      <c r="AC15" s="17"/>
    </row>
    <row r="16" spans="1:29" x14ac:dyDescent="0.2">
      <c r="A16" t="s">
        <v>36</v>
      </c>
      <c r="B16" t="s">
        <v>37</v>
      </c>
      <c r="C16" t="str">
        <f t="shared" si="0"/>
        <v xml:space="preserve">CocoPat </v>
      </c>
      <c r="D16" s="86">
        <f t="shared" si="1"/>
        <v>13565</v>
      </c>
      <c r="E16" s="57">
        <f t="shared" si="2"/>
        <v>3391.25</v>
      </c>
      <c r="F16" s="55" t="s">
        <v>191</v>
      </c>
      <c r="G16" s="54">
        <v>3590</v>
      </c>
      <c r="H16" s="54">
        <v>2450</v>
      </c>
      <c r="I16" s="54">
        <v>3650</v>
      </c>
      <c r="J16" s="54">
        <v>3875</v>
      </c>
      <c r="AA16" s="128"/>
      <c r="AC16" s="17"/>
    </row>
    <row r="17" spans="1:29" x14ac:dyDescent="0.2">
      <c r="A17" t="s">
        <v>38</v>
      </c>
      <c r="B17" t="s">
        <v>20</v>
      </c>
      <c r="C17" t="str">
        <f t="shared" si="0"/>
        <v>CohenChris</v>
      </c>
      <c r="D17" s="86">
        <f>SUM(F17:Z17)</f>
        <v>45960</v>
      </c>
      <c r="E17" s="57">
        <f t="shared" si="2"/>
        <v>9192</v>
      </c>
      <c r="F17" s="54">
        <v>2610</v>
      </c>
      <c r="G17" s="54">
        <v>9100</v>
      </c>
      <c r="H17" s="54">
        <v>12500</v>
      </c>
      <c r="I17" s="54">
        <v>10250</v>
      </c>
      <c r="J17" s="54">
        <v>11500</v>
      </c>
      <c r="AA17" s="128"/>
      <c r="AC17" s="17"/>
    </row>
    <row r="18" spans="1:29" x14ac:dyDescent="0.2">
      <c r="A18" t="s">
        <v>39</v>
      </c>
      <c r="B18" t="s">
        <v>40</v>
      </c>
      <c r="C18" t="str">
        <f t="shared" si="0"/>
        <v>ColemanDon</v>
      </c>
      <c r="D18" s="86">
        <f t="shared" si="1"/>
        <v>53705</v>
      </c>
      <c r="E18" s="57">
        <f t="shared" si="2"/>
        <v>10741</v>
      </c>
      <c r="F18" s="54">
        <v>27600</v>
      </c>
      <c r="G18" s="54">
        <v>7180</v>
      </c>
      <c r="H18" s="54">
        <v>6600</v>
      </c>
      <c r="I18" s="54">
        <v>5250</v>
      </c>
      <c r="J18" s="54">
        <v>7075</v>
      </c>
      <c r="AA18" s="128"/>
      <c r="AC18" s="17"/>
    </row>
    <row r="19" spans="1:29" ht="13.5" customHeight="1" x14ac:dyDescent="0.2">
      <c r="A19" t="s">
        <v>41</v>
      </c>
      <c r="B19" t="s">
        <v>25</v>
      </c>
      <c r="C19" t="str">
        <f t="shared" si="0"/>
        <v>CrowleyBrian</v>
      </c>
      <c r="D19" s="86">
        <f>SUM(F19:Z19)</f>
        <v>40505</v>
      </c>
      <c r="E19" s="57">
        <f t="shared" si="2"/>
        <v>8101</v>
      </c>
      <c r="F19" s="54">
        <v>6335</v>
      </c>
      <c r="G19" s="54">
        <v>5355</v>
      </c>
      <c r="H19" s="54">
        <v>10000</v>
      </c>
      <c r="I19" s="54">
        <v>9390</v>
      </c>
      <c r="J19" s="54">
        <v>9425</v>
      </c>
      <c r="AA19" s="128"/>
      <c r="AC19" s="17"/>
    </row>
    <row r="20" spans="1:29" x14ac:dyDescent="0.2">
      <c r="A20" t="s">
        <v>44</v>
      </c>
      <c r="B20" t="s">
        <v>45</v>
      </c>
      <c r="C20" t="str">
        <f t="shared" si="0"/>
        <v>DavenportDeron</v>
      </c>
      <c r="D20" s="86">
        <f t="shared" ref="D20:D28" si="3">SUM(F20:Z20)</f>
        <v>22190</v>
      </c>
      <c r="E20" s="57">
        <f t="shared" si="2"/>
        <v>4438</v>
      </c>
      <c r="F20" s="54">
        <v>6815</v>
      </c>
      <c r="G20" s="54">
        <v>3000</v>
      </c>
      <c r="H20" s="54">
        <v>2650</v>
      </c>
      <c r="I20" s="54">
        <v>5025</v>
      </c>
      <c r="J20" s="54">
        <v>4700</v>
      </c>
      <c r="AA20" s="128"/>
      <c r="AC20" s="17"/>
    </row>
    <row r="21" spans="1:29" x14ac:dyDescent="0.2">
      <c r="A21" t="s">
        <v>46</v>
      </c>
      <c r="B21" t="s">
        <v>17</v>
      </c>
      <c r="C21" t="str">
        <f t="shared" si="0"/>
        <v>DellosAdam</v>
      </c>
      <c r="D21" s="86">
        <f t="shared" si="3"/>
        <v>20060</v>
      </c>
      <c r="E21" s="57">
        <f t="shared" si="2"/>
        <v>4012</v>
      </c>
      <c r="F21" s="54">
        <v>3845</v>
      </c>
      <c r="G21" s="54">
        <v>2015</v>
      </c>
      <c r="H21" s="54">
        <v>5300</v>
      </c>
      <c r="I21" s="54">
        <v>4800</v>
      </c>
      <c r="J21" s="54">
        <v>4100</v>
      </c>
      <c r="AA21" s="128"/>
      <c r="AC21" s="17"/>
    </row>
    <row r="22" spans="1:29" x14ac:dyDescent="0.2">
      <c r="A22" t="s">
        <v>47</v>
      </c>
      <c r="B22" t="s">
        <v>48</v>
      </c>
      <c r="C22" t="str">
        <f t="shared" si="0"/>
        <v>DolanDan</v>
      </c>
      <c r="D22" s="86">
        <f t="shared" si="3"/>
        <v>66195</v>
      </c>
      <c r="E22" s="57">
        <f t="shared" si="2"/>
        <v>13239</v>
      </c>
      <c r="F22" s="54">
        <v>11240</v>
      </c>
      <c r="G22" s="54">
        <v>11130</v>
      </c>
      <c r="H22" s="54">
        <v>15000</v>
      </c>
      <c r="I22" s="54">
        <v>13450</v>
      </c>
      <c r="J22" s="54">
        <v>15375</v>
      </c>
      <c r="AA22" s="128"/>
      <c r="AC22" s="17"/>
    </row>
    <row r="23" spans="1:29" x14ac:dyDescent="0.2">
      <c r="A23" t="s">
        <v>49</v>
      </c>
      <c r="B23" t="s">
        <v>50</v>
      </c>
      <c r="C23" t="str">
        <f t="shared" si="0"/>
        <v>EddySteven</v>
      </c>
      <c r="D23" s="86">
        <f t="shared" si="3"/>
        <v>35860</v>
      </c>
      <c r="E23" s="57">
        <f t="shared" si="2"/>
        <v>7172</v>
      </c>
      <c r="F23" s="54">
        <v>12980</v>
      </c>
      <c r="G23" s="54">
        <v>5780</v>
      </c>
      <c r="H23" s="54">
        <v>5000</v>
      </c>
      <c r="I23" s="54">
        <v>5150</v>
      </c>
      <c r="J23" s="54">
        <v>6950</v>
      </c>
      <c r="AA23" s="128"/>
      <c r="AC23" s="17"/>
    </row>
    <row r="24" spans="1:29" x14ac:dyDescent="0.2">
      <c r="A24" t="s">
        <v>51</v>
      </c>
      <c r="B24" t="s">
        <v>52</v>
      </c>
      <c r="C24" t="str">
        <f t="shared" si="0"/>
        <v>EdwardsCraig</v>
      </c>
      <c r="D24" s="86">
        <f t="shared" si="3"/>
        <v>42545</v>
      </c>
      <c r="E24" s="57">
        <f t="shared" si="2"/>
        <v>8509</v>
      </c>
      <c r="F24" s="54">
        <v>5795</v>
      </c>
      <c r="G24" s="54">
        <v>6875</v>
      </c>
      <c r="H24" s="54">
        <v>9350</v>
      </c>
      <c r="I24" s="54">
        <v>12400</v>
      </c>
      <c r="J24" s="54">
        <v>8125</v>
      </c>
      <c r="AA24" s="128"/>
      <c r="AC24" s="17"/>
    </row>
    <row r="25" spans="1:29" x14ac:dyDescent="0.2">
      <c r="A25" t="s">
        <v>54</v>
      </c>
      <c r="B25" t="s">
        <v>55</v>
      </c>
      <c r="C25" t="str">
        <f t="shared" si="0"/>
        <v>EmamiAJ</v>
      </c>
      <c r="D25" s="86">
        <f t="shared" si="3"/>
        <v>35350</v>
      </c>
      <c r="E25" s="57">
        <f t="shared" si="2"/>
        <v>7070</v>
      </c>
      <c r="F25" s="54">
        <v>5500</v>
      </c>
      <c r="G25" s="54">
        <v>7000</v>
      </c>
      <c r="H25" s="54">
        <v>5000</v>
      </c>
      <c r="I25" s="54">
        <v>6450</v>
      </c>
      <c r="J25" s="54">
        <v>11400</v>
      </c>
      <c r="AA25" s="128"/>
      <c r="AC25" s="17"/>
    </row>
    <row r="26" spans="1:29" x14ac:dyDescent="0.2">
      <c r="A26" t="s">
        <v>56</v>
      </c>
      <c r="B26" t="s">
        <v>9</v>
      </c>
      <c r="C26" t="str">
        <f t="shared" si="0"/>
        <v>FetzerBill</v>
      </c>
      <c r="D26" s="86">
        <f t="shared" si="3"/>
        <v>41115</v>
      </c>
      <c r="E26" s="57">
        <f t="shared" si="2"/>
        <v>8223</v>
      </c>
      <c r="F26" s="54">
        <v>10185</v>
      </c>
      <c r="G26" s="54">
        <v>12330</v>
      </c>
      <c r="H26" s="54">
        <v>9400</v>
      </c>
      <c r="I26" s="54">
        <v>5500</v>
      </c>
      <c r="J26" s="54">
        <v>3700</v>
      </c>
      <c r="AA26" s="128"/>
      <c r="AC26" s="17"/>
    </row>
    <row r="27" spans="1:29" x14ac:dyDescent="0.2">
      <c r="A27" t="s">
        <v>57</v>
      </c>
      <c r="B27" t="s">
        <v>186</v>
      </c>
      <c r="C27" t="str">
        <f t="shared" si="0"/>
        <v xml:space="preserve">FigueroaIsaac </v>
      </c>
      <c r="D27" s="86">
        <f t="shared" si="3"/>
        <v>106540</v>
      </c>
      <c r="E27" s="57">
        <f t="shared" si="2"/>
        <v>21308</v>
      </c>
      <c r="F27" s="54">
        <v>5985</v>
      </c>
      <c r="G27" s="54">
        <v>24960</v>
      </c>
      <c r="H27" s="54">
        <v>31820</v>
      </c>
      <c r="I27" s="54">
        <v>15900</v>
      </c>
      <c r="J27" s="54">
        <v>27875</v>
      </c>
      <c r="AA27" s="128"/>
      <c r="AC27" s="17"/>
    </row>
    <row r="28" spans="1:29" x14ac:dyDescent="0.2">
      <c r="A28" t="s">
        <v>59</v>
      </c>
      <c r="B28" t="s">
        <v>60</v>
      </c>
      <c r="C28" t="str">
        <f t="shared" si="0"/>
        <v>FoersterBryan</v>
      </c>
      <c r="D28" s="86">
        <f t="shared" si="3"/>
        <v>16250</v>
      </c>
      <c r="E28" s="57">
        <f t="shared" si="2"/>
        <v>16250</v>
      </c>
      <c r="F28" s="54" t="s">
        <v>191</v>
      </c>
      <c r="G28" s="54" t="s">
        <v>191</v>
      </c>
      <c r="H28" s="54" t="s">
        <v>191</v>
      </c>
      <c r="I28" s="54" t="s">
        <v>191</v>
      </c>
      <c r="J28" s="54">
        <v>16250</v>
      </c>
      <c r="AA28" s="128"/>
      <c r="AC28" s="17"/>
    </row>
    <row r="29" spans="1:29" x14ac:dyDescent="0.2">
      <c r="A29" t="s">
        <v>61</v>
      </c>
      <c r="B29" t="s">
        <v>62</v>
      </c>
      <c r="C29" t="str">
        <f t="shared" si="0"/>
        <v>GarciaRudy</v>
      </c>
      <c r="D29" s="86">
        <f>SUM(F29:Z29)</f>
        <v>79985</v>
      </c>
      <c r="E29" s="57">
        <f t="shared" si="2"/>
        <v>15997</v>
      </c>
      <c r="F29" s="54">
        <v>20265</v>
      </c>
      <c r="G29" s="54">
        <v>23275</v>
      </c>
      <c r="H29" s="54">
        <v>15375</v>
      </c>
      <c r="I29" s="54">
        <v>8620</v>
      </c>
      <c r="J29" s="54">
        <v>12450</v>
      </c>
      <c r="AA29" s="128"/>
      <c r="AC29" s="17"/>
    </row>
    <row r="30" spans="1:29" x14ac:dyDescent="0.2">
      <c r="A30" t="s">
        <v>63</v>
      </c>
      <c r="B30" t="s">
        <v>25</v>
      </c>
      <c r="C30" t="str">
        <f t="shared" si="0"/>
        <v>GardnerBrian</v>
      </c>
      <c r="D30" s="86">
        <f t="shared" si="1"/>
        <v>15600</v>
      </c>
      <c r="E30" s="57">
        <f t="shared" si="2"/>
        <v>7800</v>
      </c>
      <c r="F30" s="54" t="s">
        <v>191</v>
      </c>
      <c r="G30" s="54" t="s">
        <v>191</v>
      </c>
      <c r="H30" s="54" t="s">
        <v>191</v>
      </c>
      <c r="I30" s="54">
        <v>8500</v>
      </c>
      <c r="J30" s="54">
        <v>7100</v>
      </c>
      <c r="AA30" s="128"/>
      <c r="AC30" s="17"/>
    </row>
    <row r="31" spans="1:29" x14ac:dyDescent="0.2">
      <c r="A31" t="s">
        <v>64</v>
      </c>
      <c r="B31" t="s">
        <v>65</v>
      </c>
      <c r="C31" t="str">
        <f t="shared" si="0"/>
        <v>GearyReggie</v>
      </c>
      <c r="D31" s="86">
        <f>SUM(F31:Z31)</f>
        <v>18665</v>
      </c>
      <c r="E31" s="57">
        <f t="shared" si="2"/>
        <v>3733</v>
      </c>
      <c r="F31" s="54">
        <v>2970</v>
      </c>
      <c r="G31" s="54">
        <v>2170</v>
      </c>
      <c r="H31" s="54">
        <v>3800</v>
      </c>
      <c r="I31" s="54">
        <v>4900</v>
      </c>
      <c r="J31" s="54">
        <v>4825</v>
      </c>
      <c r="AA31" s="128"/>
      <c r="AC31" s="17"/>
    </row>
    <row r="32" spans="1:29" x14ac:dyDescent="0.2">
      <c r="A32" t="s">
        <v>68</v>
      </c>
      <c r="B32" t="s">
        <v>69</v>
      </c>
      <c r="C32" t="str">
        <f t="shared" si="0"/>
        <v>GonzalesVince</v>
      </c>
      <c r="D32" s="86">
        <f t="shared" si="1"/>
        <v>16580</v>
      </c>
      <c r="E32" s="57">
        <f t="shared" si="2"/>
        <v>4145</v>
      </c>
      <c r="F32" s="55" t="s">
        <v>191</v>
      </c>
      <c r="G32" s="54">
        <v>2400</v>
      </c>
      <c r="H32" s="54">
        <v>3360</v>
      </c>
      <c r="I32" s="54">
        <v>6020</v>
      </c>
      <c r="J32" s="54">
        <v>4800</v>
      </c>
      <c r="AA32" s="128"/>
      <c r="AC32" s="17"/>
    </row>
    <row r="33" spans="1:29" x14ac:dyDescent="0.2">
      <c r="A33" t="s">
        <v>70</v>
      </c>
      <c r="B33" t="s">
        <v>71</v>
      </c>
      <c r="C33" t="str">
        <f t="shared" si="0"/>
        <v>GouldBrett</v>
      </c>
      <c r="D33" s="86">
        <f t="shared" ref="D33:D39" si="4">SUM(F33:Z33)</f>
        <v>21690</v>
      </c>
      <c r="E33" s="57">
        <f t="shared" si="2"/>
        <v>5422.5</v>
      </c>
      <c r="F33" s="54">
        <v>3800</v>
      </c>
      <c r="G33" s="54">
        <v>4425</v>
      </c>
      <c r="I33" s="54">
        <v>4390</v>
      </c>
      <c r="J33" s="54">
        <v>9075</v>
      </c>
      <c r="AA33" s="128"/>
      <c r="AC33" s="17"/>
    </row>
    <row r="34" spans="1:29" x14ac:dyDescent="0.2">
      <c r="A34" t="s">
        <v>72</v>
      </c>
      <c r="B34" t="s">
        <v>73</v>
      </c>
      <c r="C34" t="str">
        <f t="shared" si="0"/>
        <v>HarperMatt</v>
      </c>
      <c r="D34" s="86">
        <f t="shared" si="4"/>
        <v>19885</v>
      </c>
      <c r="E34" s="57">
        <f t="shared" si="2"/>
        <v>3977</v>
      </c>
      <c r="F34" s="54">
        <v>3500</v>
      </c>
      <c r="G34" s="54">
        <v>3135</v>
      </c>
      <c r="H34" s="54">
        <v>3900</v>
      </c>
      <c r="I34" s="54">
        <v>5450</v>
      </c>
      <c r="J34" s="54">
        <v>3900</v>
      </c>
      <c r="AA34" s="128"/>
      <c r="AC34" s="17"/>
    </row>
    <row r="35" spans="1:29" x14ac:dyDescent="0.2">
      <c r="A35" t="s">
        <v>74</v>
      </c>
      <c r="B35" t="s">
        <v>23</v>
      </c>
      <c r="C35" t="str">
        <f t="shared" si="0"/>
        <v>HealyJay</v>
      </c>
      <c r="D35" s="86">
        <f t="shared" si="4"/>
        <v>21135</v>
      </c>
      <c r="E35" s="57">
        <f t="shared" si="2"/>
        <v>4227</v>
      </c>
      <c r="F35" s="54">
        <v>3560</v>
      </c>
      <c r="G35" s="54">
        <v>1850</v>
      </c>
      <c r="H35" s="54">
        <v>6550</v>
      </c>
      <c r="I35" s="54">
        <v>5650</v>
      </c>
      <c r="J35" s="54">
        <v>3525</v>
      </c>
      <c r="AA35" s="128"/>
      <c r="AC35" s="17"/>
    </row>
    <row r="36" spans="1:29" x14ac:dyDescent="0.2">
      <c r="A36" t="s">
        <v>77</v>
      </c>
      <c r="B36" t="s">
        <v>78</v>
      </c>
      <c r="C36" t="str">
        <f t="shared" si="0"/>
        <v>HochTroy</v>
      </c>
      <c r="D36" s="86">
        <f t="shared" si="4"/>
        <v>23750</v>
      </c>
      <c r="E36" s="57">
        <f t="shared" si="2"/>
        <v>4750</v>
      </c>
      <c r="F36" s="54">
        <v>2230</v>
      </c>
      <c r="G36" s="54">
        <v>5000</v>
      </c>
      <c r="H36" s="54">
        <v>5520</v>
      </c>
      <c r="I36" s="54">
        <v>6000</v>
      </c>
      <c r="J36" s="54">
        <v>5000</v>
      </c>
      <c r="AA36" s="128"/>
      <c r="AC36" s="17"/>
    </row>
    <row r="37" spans="1:29" s="3" customFormat="1" x14ac:dyDescent="0.2">
      <c r="A37" s="3" t="s">
        <v>79</v>
      </c>
      <c r="B37" s="3" t="s">
        <v>80</v>
      </c>
      <c r="C37" s="3" t="str">
        <f t="shared" si="0"/>
        <v>HopkinsStevie</v>
      </c>
      <c r="D37" s="86">
        <f t="shared" si="4"/>
        <v>55005</v>
      </c>
      <c r="E37" s="129">
        <f t="shared" si="2"/>
        <v>11001</v>
      </c>
      <c r="F37" s="130">
        <v>10705</v>
      </c>
      <c r="G37" s="130">
        <v>10275</v>
      </c>
      <c r="H37" s="130">
        <v>7800</v>
      </c>
      <c r="I37" s="130">
        <v>15050</v>
      </c>
      <c r="J37" s="130">
        <v>11175</v>
      </c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</row>
    <row r="38" spans="1:29" x14ac:dyDescent="0.2">
      <c r="A38" t="s">
        <v>81</v>
      </c>
      <c r="B38" t="s">
        <v>82</v>
      </c>
      <c r="C38" t="str">
        <f t="shared" si="0"/>
        <v>JacobsonEric</v>
      </c>
      <c r="D38" s="86">
        <f t="shared" si="4"/>
        <v>99390</v>
      </c>
      <c r="E38" s="57">
        <f t="shared" si="2"/>
        <v>19878</v>
      </c>
      <c r="F38" s="54">
        <v>18580</v>
      </c>
      <c r="G38" s="54">
        <v>15610</v>
      </c>
      <c r="H38" s="54">
        <v>17850</v>
      </c>
      <c r="I38" s="54">
        <v>40500</v>
      </c>
      <c r="J38" s="54">
        <v>6850</v>
      </c>
      <c r="AA38" s="128"/>
      <c r="AC38" s="17"/>
    </row>
    <row r="39" spans="1:29" x14ac:dyDescent="0.2">
      <c r="A39" t="s">
        <v>83</v>
      </c>
      <c r="B39" t="s">
        <v>20</v>
      </c>
      <c r="C39" t="str">
        <f t="shared" si="0"/>
        <v>JohnsonChris</v>
      </c>
      <c r="D39" s="86">
        <f t="shared" si="4"/>
        <v>16575</v>
      </c>
      <c r="E39" s="57">
        <f t="shared" si="2"/>
        <v>3315</v>
      </c>
      <c r="F39" s="54">
        <v>2755</v>
      </c>
      <c r="G39" s="54">
        <v>4140</v>
      </c>
      <c r="H39" s="54">
        <v>3250</v>
      </c>
      <c r="I39" s="54">
        <v>2930</v>
      </c>
      <c r="J39" s="54">
        <v>3500</v>
      </c>
      <c r="AA39" s="128"/>
      <c r="AC39" s="17"/>
    </row>
    <row r="40" spans="1:29" x14ac:dyDescent="0.2">
      <c r="A40" t="s">
        <v>84</v>
      </c>
      <c r="B40" t="s">
        <v>20</v>
      </c>
      <c r="C40" t="str">
        <f t="shared" si="0"/>
        <v>JordanChris</v>
      </c>
      <c r="D40" s="86">
        <f t="shared" si="1"/>
        <v>4000</v>
      </c>
      <c r="E40" s="57">
        <f t="shared" si="2"/>
        <v>4000</v>
      </c>
      <c r="F40" s="54" t="s">
        <v>191</v>
      </c>
      <c r="G40" s="54" t="s">
        <v>191</v>
      </c>
      <c r="H40" s="54" t="s">
        <v>191</v>
      </c>
      <c r="I40" s="54" t="s">
        <v>191</v>
      </c>
      <c r="J40" s="54">
        <v>4000</v>
      </c>
      <c r="AA40" s="128"/>
      <c r="AC40" s="17"/>
    </row>
    <row r="41" spans="1:29" x14ac:dyDescent="0.2">
      <c r="A41" t="s">
        <v>85</v>
      </c>
      <c r="B41" t="s">
        <v>86</v>
      </c>
      <c r="C41" t="str">
        <f t="shared" si="0"/>
        <v>KemmerlyBrogan</v>
      </c>
      <c r="D41" s="86">
        <f t="shared" si="1"/>
        <v>148915</v>
      </c>
      <c r="E41" s="57">
        <f t="shared" si="2"/>
        <v>37228.75</v>
      </c>
      <c r="G41" s="54">
        <v>31915</v>
      </c>
      <c r="H41" s="54">
        <v>34000</v>
      </c>
      <c r="I41" s="54">
        <v>39850</v>
      </c>
      <c r="J41" s="54">
        <v>43150</v>
      </c>
      <c r="AA41" s="128"/>
      <c r="AC41" s="17"/>
    </row>
    <row r="42" spans="1:29" x14ac:dyDescent="0.2">
      <c r="A42" t="s">
        <v>87</v>
      </c>
      <c r="B42" t="s">
        <v>88</v>
      </c>
      <c r="C42" t="str">
        <f t="shared" si="0"/>
        <v>KingTommy</v>
      </c>
      <c r="D42" s="86">
        <f t="shared" si="1"/>
        <v>9680</v>
      </c>
      <c r="E42" s="57">
        <f t="shared" si="2"/>
        <v>4840</v>
      </c>
      <c r="F42" s="54" t="s">
        <v>191</v>
      </c>
      <c r="G42" s="54" t="s">
        <v>191</v>
      </c>
      <c r="H42" s="54" t="s">
        <v>191</v>
      </c>
      <c r="I42" s="54">
        <v>6030</v>
      </c>
      <c r="J42" s="54">
        <v>3650</v>
      </c>
      <c r="AA42" s="128"/>
      <c r="AC42" s="17"/>
    </row>
    <row r="43" spans="1:29" x14ac:dyDescent="0.2">
      <c r="A43" t="s">
        <v>89</v>
      </c>
      <c r="B43" t="s">
        <v>90</v>
      </c>
      <c r="C43" t="str">
        <f t="shared" si="0"/>
        <v>KlineTed</v>
      </c>
      <c r="D43" s="86">
        <f t="shared" ref="D43:D49" si="5">SUM(F43:Z43)</f>
        <v>25935</v>
      </c>
      <c r="E43" s="57">
        <f t="shared" si="2"/>
        <v>5187</v>
      </c>
      <c r="F43" s="54">
        <v>3610</v>
      </c>
      <c r="G43" s="54">
        <v>1850</v>
      </c>
      <c r="H43" s="54">
        <v>5900</v>
      </c>
      <c r="I43" s="54">
        <v>7800</v>
      </c>
      <c r="J43" s="54">
        <v>6775</v>
      </c>
      <c r="AA43" s="128"/>
      <c r="AC43" s="17"/>
    </row>
    <row r="44" spans="1:29" x14ac:dyDescent="0.2">
      <c r="A44" t="s">
        <v>91</v>
      </c>
      <c r="B44" t="s">
        <v>92</v>
      </c>
      <c r="C44" t="str">
        <f t="shared" si="0"/>
        <v>KornBen</v>
      </c>
      <c r="D44" s="86">
        <f t="shared" si="5"/>
        <v>28275</v>
      </c>
      <c r="E44" s="57">
        <f t="shared" si="2"/>
        <v>5655</v>
      </c>
      <c r="F44" s="54">
        <v>4275</v>
      </c>
      <c r="G44" s="54">
        <v>3790</v>
      </c>
      <c r="H44" s="54">
        <v>4510</v>
      </c>
      <c r="I44" s="54">
        <v>7250</v>
      </c>
      <c r="J44" s="54">
        <v>8450</v>
      </c>
      <c r="AA44" s="128"/>
      <c r="AC44" s="17"/>
    </row>
    <row r="45" spans="1:29" x14ac:dyDescent="0.2">
      <c r="A45" t="s">
        <v>93</v>
      </c>
      <c r="B45" t="s">
        <v>94</v>
      </c>
      <c r="C45" t="str">
        <f t="shared" si="0"/>
        <v>KowalewskiJeffrey</v>
      </c>
      <c r="D45" s="86">
        <f t="shared" si="5"/>
        <v>14700</v>
      </c>
      <c r="E45" s="57">
        <f t="shared" si="2"/>
        <v>2940</v>
      </c>
      <c r="F45" s="54">
        <v>3280</v>
      </c>
      <c r="G45" s="54">
        <v>2820</v>
      </c>
      <c r="H45" s="54">
        <v>2500</v>
      </c>
      <c r="I45" s="54">
        <v>2500</v>
      </c>
      <c r="J45" s="54">
        <v>3600</v>
      </c>
      <c r="AA45" s="128"/>
      <c r="AC45" s="17"/>
    </row>
    <row r="46" spans="1:29" x14ac:dyDescent="0.2">
      <c r="A46" t="s">
        <v>95</v>
      </c>
      <c r="B46" t="s">
        <v>96</v>
      </c>
      <c r="C46" t="str">
        <f t="shared" si="0"/>
        <v>KreutzNick</v>
      </c>
      <c r="D46" s="86">
        <f t="shared" si="5"/>
        <v>29025</v>
      </c>
      <c r="E46" s="57">
        <f t="shared" si="2"/>
        <v>5805</v>
      </c>
      <c r="F46" s="54">
        <v>5955</v>
      </c>
      <c r="G46" s="54">
        <v>4470</v>
      </c>
      <c r="H46" s="54">
        <v>4700</v>
      </c>
      <c r="I46" s="54">
        <v>6050</v>
      </c>
      <c r="J46" s="54">
        <v>7850</v>
      </c>
      <c r="AA46" s="128"/>
      <c r="AC46" s="17"/>
    </row>
    <row r="47" spans="1:29" x14ac:dyDescent="0.2">
      <c r="A47" t="s">
        <v>97</v>
      </c>
      <c r="B47" t="s">
        <v>92</v>
      </c>
      <c r="C47" t="str">
        <f t="shared" si="0"/>
        <v>LadridoBen</v>
      </c>
      <c r="D47" s="86">
        <f t="shared" si="5"/>
        <v>25540</v>
      </c>
      <c r="E47" s="57">
        <f t="shared" si="2"/>
        <v>5108</v>
      </c>
      <c r="F47" s="54">
        <v>5590</v>
      </c>
      <c r="G47" s="54">
        <v>7000</v>
      </c>
      <c r="H47" s="54">
        <v>3550</v>
      </c>
      <c r="I47" s="54">
        <v>5700</v>
      </c>
      <c r="J47" s="54">
        <v>3700</v>
      </c>
      <c r="AA47" s="128"/>
      <c r="AC47" s="17"/>
    </row>
    <row r="48" spans="1:29" x14ac:dyDescent="0.2">
      <c r="A48" t="s">
        <v>98</v>
      </c>
      <c r="B48" t="s">
        <v>99</v>
      </c>
      <c r="C48" t="str">
        <f t="shared" si="0"/>
        <v>LambrightZach</v>
      </c>
      <c r="D48" s="86">
        <f t="shared" si="5"/>
        <v>13835</v>
      </c>
      <c r="E48" s="57">
        <f t="shared" si="2"/>
        <v>2767</v>
      </c>
      <c r="F48" s="54">
        <v>3285</v>
      </c>
      <c r="G48" s="54">
        <v>1650</v>
      </c>
      <c r="H48" s="54">
        <v>3200</v>
      </c>
      <c r="I48" s="54">
        <v>2200</v>
      </c>
      <c r="J48" s="54">
        <v>3500</v>
      </c>
      <c r="AA48" s="128"/>
      <c r="AC48" s="17"/>
    </row>
    <row r="49" spans="1:29" x14ac:dyDescent="0.2">
      <c r="A49" t="s">
        <v>100</v>
      </c>
      <c r="B49" t="s">
        <v>101</v>
      </c>
      <c r="C49" t="str">
        <f t="shared" si="0"/>
        <v>Lanham-BairdNathan</v>
      </c>
      <c r="D49" s="86">
        <f t="shared" si="5"/>
        <v>19615</v>
      </c>
      <c r="E49" s="57">
        <f t="shared" si="2"/>
        <v>6538.333333333333</v>
      </c>
      <c r="F49" s="54" t="s">
        <v>191</v>
      </c>
      <c r="G49" s="54" t="s">
        <v>191</v>
      </c>
      <c r="H49" s="54">
        <v>6840</v>
      </c>
      <c r="I49" s="54">
        <v>7050</v>
      </c>
      <c r="J49" s="54">
        <v>5725</v>
      </c>
      <c r="AA49" s="128"/>
      <c r="AC49" s="17"/>
    </row>
    <row r="50" spans="1:29" x14ac:dyDescent="0.2">
      <c r="A50" t="s">
        <v>102</v>
      </c>
      <c r="B50" t="s">
        <v>103</v>
      </c>
      <c r="C50" t="str">
        <f t="shared" si="0"/>
        <v>LevinZack</v>
      </c>
      <c r="D50" s="86">
        <f>SUM(F50:Z50)</f>
        <v>22280</v>
      </c>
      <c r="E50" s="57">
        <f t="shared" si="2"/>
        <v>4456</v>
      </c>
      <c r="F50" s="54">
        <v>3170</v>
      </c>
      <c r="G50" s="54">
        <v>3040</v>
      </c>
      <c r="H50" s="54">
        <v>5620</v>
      </c>
      <c r="I50" s="54">
        <v>4500</v>
      </c>
      <c r="J50" s="54">
        <v>5950</v>
      </c>
      <c r="AA50" s="128"/>
      <c r="AC50" s="17"/>
    </row>
    <row r="51" spans="1:29" x14ac:dyDescent="0.2">
      <c r="A51" t="s">
        <v>104</v>
      </c>
      <c r="B51" t="s">
        <v>105</v>
      </c>
      <c r="C51" t="str">
        <f t="shared" si="0"/>
        <v>LightcapJed</v>
      </c>
      <c r="D51" s="86">
        <f>SUM(F51:Z51)</f>
        <v>80725</v>
      </c>
      <c r="E51" s="57">
        <f t="shared" si="2"/>
        <v>16145</v>
      </c>
      <c r="F51" s="54">
        <v>3035</v>
      </c>
      <c r="G51" s="54">
        <v>2040</v>
      </c>
      <c r="H51" s="54">
        <v>4250</v>
      </c>
      <c r="I51" s="54">
        <v>6400</v>
      </c>
      <c r="J51" s="54">
        <v>65000</v>
      </c>
      <c r="AA51" s="128"/>
      <c r="AC51" s="17"/>
    </row>
    <row r="52" spans="1:29" x14ac:dyDescent="0.2">
      <c r="A52" t="s">
        <v>108</v>
      </c>
      <c r="B52" t="s">
        <v>109</v>
      </c>
      <c r="C52" t="str">
        <f t="shared" si="0"/>
        <v>McKayCameron</v>
      </c>
      <c r="D52" s="86">
        <f t="shared" si="1"/>
        <v>33290</v>
      </c>
      <c r="E52" s="57">
        <f t="shared" si="2"/>
        <v>11096.666666666666</v>
      </c>
      <c r="F52" s="54" t="s">
        <v>191</v>
      </c>
      <c r="G52" s="54" t="s">
        <v>191</v>
      </c>
      <c r="H52" s="54">
        <v>5990</v>
      </c>
      <c r="I52" s="54">
        <v>7100</v>
      </c>
      <c r="J52" s="54">
        <v>20200</v>
      </c>
      <c r="AA52" s="128"/>
      <c r="AC52" s="17"/>
    </row>
    <row r="53" spans="1:29" x14ac:dyDescent="0.2">
      <c r="A53" t="s">
        <v>110</v>
      </c>
      <c r="B53" t="s">
        <v>53</v>
      </c>
      <c r="C53" t="str">
        <f t="shared" si="0"/>
        <v>McKinneyTom</v>
      </c>
      <c r="D53" s="86">
        <f t="shared" si="1"/>
        <v>8800</v>
      </c>
      <c r="E53" s="57">
        <f t="shared" si="2"/>
        <v>4400</v>
      </c>
      <c r="F53" s="54" t="s">
        <v>191</v>
      </c>
      <c r="G53" s="54" t="s">
        <v>191</v>
      </c>
      <c r="H53" s="54" t="s">
        <v>191</v>
      </c>
      <c r="I53" s="54">
        <v>5250</v>
      </c>
      <c r="J53" s="54">
        <v>3550</v>
      </c>
      <c r="AA53" s="128"/>
      <c r="AC53" s="17"/>
    </row>
    <row r="54" spans="1:29" x14ac:dyDescent="0.2">
      <c r="A54" t="s">
        <v>111</v>
      </c>
      <c r="B54" t="s">
        <v>76</v>
      </c>
      <c r="C54" t="str">
        <f t="shared" si="0"/>
        <v>MegerJim</v>
      </c>
      <c r="D54" s="86">
        <f>SUM(F54:Z54)</f>
        <v>35940</v>
      </c>
      <c r="E54" s="57">
        <f t="shared" si="2"/>
        <v>7188</v>
      </c>
      <c r="F54" s="54">
        <v>6220</v>
      </c>
      <c r="G54" s="54">
        <v>9020</v>
      </c>
      <c r="H54" s="54">
        <v>4150</v>
      </c>
      <c r="I54" s="54">
        <v>8450</v>
      </c>
      <c r="J54" s="54">
        <v>8100</v>
      </c>
      <c r="AA54" s="128"/>
      <c r="AC54" s="17"/>
    </row>
    <row r="55" spans="1:29" x14ac:dyDescent="0.2">
      <c r="A55" t="s">
        <v>112</v>
      </c>
      <c r="B55" t="s">
        <v>96</v>
      </c>
      <c r="C55" t="str">
        <f t="shared" si="0"/>
        <v>MenkeNick</v>
      </c>
      <c r="D55" s="86">
        <f t="shared" si="1"/>
        <v>39570</v>
      </c>
      <c r="E55" s="57">
        <f t="shared" si="2"/>
        <v>13190</v>
      </c>
      <c r="F55" s="54" t="s">
        <v>191</v>
      </c>
      <c r="G55" s="54" t="s">
        <v>191</v>
      </c>
      <c r="H55" s="54">
        <v>7470</v>
      </c>
      <c r="I55" s="54">
        <v>13850</v>
      </c>
      <c r="J55" s="54">
        <v>18250</v>
      </c>
      <c r="AA55" s="128"/>
      <c r="AC55" s="17"/>
    </row>
    <row r="56" spans="1:29" x14ac:dyDescent="0.2">
      <c r="A56" t="s">
        <v>113</v>
      </c>
      <c r="B56" t="s">
        <v>114</v>
      </c>
      <c r="C56" t="str">
        <f t="shared" si="0"/>
        <v>MeyerAaron</v>
      </c>
      <c r="D56" s="86">
        <f>SUM(F56:Z56)</f>
        <v>23985</v>
      </c>
      <c r="E56" s="57">
        <f t="shared" si="2"/>
        <v>4797</v>
      </c>
      <c r="F56" s="54">
        <v>4760</v>
      </c>
      <c r="G56" s="54">
        <v>8350</v>
      </c>
      <c r="H56" s="54">
        <v>2900</v>
      </c>
      <c r="I56" s="54">
        <v>3700</v>
      </c>
      <c r="J56" s="54">
        <v>4275</v>
      </c>
      <c r="AA56" s="128"/>
      <c r="AC56" s="17"/>
    </row>
    <row r="57" spans="1:29" x14ac:dyDescent="0.2">
      <c r="A57" t="s">
        <v>115</v>
      </c>
      <c r="B57" t="s">
        <v>181</v>
      </c>
      <c r="C57" t="str">
        <f t="shared" si="0"/>
        <v xml:space="preserve">MooreCameron </v>
      </c>
      <c r="D57" s="86">
        <f t="shared" si="1"/>
        <v>10500</v>
      </c>
      <c r="E57" s="57">
        <f t="shared" si="2"/>
        <v>5250</v>
      </c>
      <c r="F57" s="54" t="s">
        <v>191</v>
      </c>
      <c r="G57" s="54" t="s">
        <v>191</v>
      </c>
      <c r="H57" s="54" t="s">
        <v>191</v>
      </c>
      <c r="I57" s="54">
        <v>4450</v>
      </c>
      <c r="J57" s="54">
        <v>6050</v>
      </c>
      <c r="AA57" s="128"/>
      <c r="AC57" s="17"/>
    </row>
    <row r="58" spans="1:29" x14ac:dyDescent="0.2">
      <c r="A58" t="s">
        <v>116</v>
      </c>
      <c r="B58" t="s">
        <v>117</v>
      </c>
      <c r="C58" t="str">
        <f t="shared" si="0"/>
        <v>MoskowitzJoel R.</v>
      </c>
      <c r="D58" s="86">
        <f t="shared" si="1"/>
        <v>3825</v>
      </c>
      <c r="E58" s="57">
        <f t="shared" si="2"/>
        <v>3825</v>
      </c>
      <c r="F58" s="54" t="s">
        <v>191</v>
      </c>
      <c r="G58" s="54" t="s">
        <v>191</v>
      </c>
      <c r="H58" s="54" t="s">
        <v>191</v>
      </c>
      <c r="I58" s="54" t="s">
        <v>191</v>
      </c>
      <c r="J58" s="54">
        <v>3825</v>
      </c>
      <c r="AA58" s="128"/>
      <c r="AC58" s="17"/>
    </row>
    <row r="59" spans="1:29" x14ac:dyDescent="0.2">
      <c r="A59" t="s">
        <v>118</v>
      </c>
      <c r="B59" t="s">
        <v>119</v>
      </c>
      <c r="C59" t="str">
        <f t="shared" si="0"/>
        <v>MurphyPatrick</v>
      </c>
      <c r="D59" s="86">
        <f>SUM(F59:Z59)</f>
        <v>35295</v>
      </c>
      <c r="E59" s="57">
        <f t="shared" si="2"/>
        <v>7059</v>
      </c>
      <c r="F59" s="54">
        <v>7395</v>
      </c>
      <c r="G59" s="54">
        <v>7700</v>
      </c>
      <c r="H59" s="54">
        <v>4250</v>
      </c>
      <c r="I59" s="54">
        <v>8650</v>
      </c>
      <c r="J59" s="54">
        <v>7300</v>
      </c>
      <c r="AA59" s="128"/>
      <c r="AC59" s="17"/>
    </row>
    <row r="60" spans="1:29" x14ac:dyDescent="0.2">
      <c r="A60" t="s">
        <v>120</v>
      </c>
      <c r="B60" t="s">
        <v>121</v>
      </c>
      <c r="C60" t="str">
        <f t="shared" si="0"/>
        <v>MurraySean</v>
      </c>
      <c r="D60" s="86">
        <f>SUM(F60:Z60)</f>
        <v>31895</v>
      </c>
      <c r="E60" s="57">
        <f t="shared" si="2"/>
        <v>6379</v>
      </c>
      <c r="F60" s="54">
        <v>5800</v>
      </c>
      <c r="G60" s="54">
        <v>5795</v>
      </c>
      <c r="H60" s="54">
        <v>5400</v>
      </c>
      <c r="I60" s="54">
        <v>8550</v>
      </c>
      <c r="J60" s="54">
        <v>6350</v>
      </c>
      <c r="AA60" s="128"/>
      <c r="AC60" s="17"/>
    </row>
    <row r="61" spans="1:29" x14ac:dyDescent="0.2">
      <c r="A61" t="s">
        <v>122</v>
      </c>
      <c r="B61" t="s">
        <v>123</v>
      </c>
      <c r="C61" t="str">
        <f t="shared" si="0"/>
        <v>NannaSpanky</v>
      </c>
      <c r="D61" s="86">
        <f>SUM(F61:Z61)</f>
        <v>30460</v>
      </c>
      <c r="E61" s="57">
        <f t="shared" si="2"/>
        <v>6092</v>
      </c>
      <c r="F61" s="54">
        <v>5070</v>
      </c>
      <c r="G61" s="54">
        <v>5060</v>
      </c>
      <c r="H61" s="54">
        <v>7050</v>
      </c>
      <c r="I61" s="54">
        <v>6480</v>
      </c>
      <c r="J61" s="54">
        <v>6800</v>
      </c>
      <c r="AA61" s="128"/>
      <c r="AC61" s="17"/>
    </row>
    <row r="62" spans="1:29" x14ac:dyDescent="0.2">
      <c r="A62" t="s">
        <v>124</v>
      </c>
      <c r="B62" t="s">
        <v>48</v>
      </c>
      <c r="C62" t="str">
        <f t="shared" si="0"/>
        <v>NentlDan</v>
      </c>
      <c r="D62" s="86">
        <f>SUM(F62:Z62)</f>
        <v>38295</v>
      </c>
      <c r="E62" s="57">
        <f t="shared" si="2"/>
        <v>7659</v>
      </c>
      <c r="F62" s="54">
        <v>5000</v>
      </c>
      <c r="G62" s="54">
        <v>7350</v>
      </c>
      <c r="H62" s="54">
        <v>8020</v>
      </c>
      <c r="I62" s="54">
        <v>8400</v>
      </c>
      <c r="J62" s="54">
        <v>9525</v>
      </c>
      <c r="AA62" s="128"/>
      <c r="AC62" s="17"/>
    </row>
    <row r="63" spans="1:29" x14ac:dyDescent="0.2">
      <c r="A63" t="s">
        <v>125</v>
      </c>
      <c r="B63" t="s">
        <v>126</v>
      </c>
      <c r="C63" t="str">
        <f t="shared" si="0"/>
        <v>OroscoJosh</v>
      </c>
      <c r="D63" s="86">
        <f t="shared" si="1"/>
        <v>9040</v>
      </c>
      <c r="E63" s="57">
        <f t="shared" si="2"/>
        <v>4520</v>
      </c>
      <c r="F63" s="54" t="s">
        <v>191</v>
      </c>
      <c r="G63" s="54" t="s">
        <v>191</v>
      </c>
      <c r="H63" s="54" t="s">
        <v>191</v>
      </c>
      <c r="I63" s="54">
        <v>4100</v>
      </c>
      <c r="J63" s="54">
        <v>4940</v>
      </c>
      <c r="AA63" s="128"/>
      <c r="AC63" s="17"/>
    </row>
    <row r="64" spans="1:29" x14ac:dyDescent="0.2">
      <c r="A64" t="s">
        <v>127</v>
      </c>
      <c r="B64" t="s">
        <v>128</v>
      </c>
      <c r="C64" t="str">
        <f t="shared" si="0"/>
        <v>PatelVijay</v>
      </c>
      <c r="D64" s="86">
        <f t="shared" si="1"/>
        <v>18460</v>
      </c>
      <c r="E64" s="57">
        <f t="shared" si="2"/>
        <v>4615</v>
      </c>
      <c r="F64" s="54" t="s">
        <v>191</v>
      </c>
      <c r="G64" s="54">
        <v>5285</v>
      </c>
      <c r="H64" s="54">
        <v>2650</v>
      </c>
      <c r="I64" s="54">
        <v>7000</v>
      </c>
      <c r="J64" s="54">
        <v>3525</v>
      </c>
      <c r="AA64" s="128"/>
      <c r="AC64" s="17"/>
    </row>
    <row r="65" spans="1:29" x14ac:dyDescent="0.2">
      <c r="A65" t="s">
        <v>129</v>
      </c>
      <c r="B65" t="s">
        <v>130</v>
      </c>
      <c r="C65" t="str">
        <f t="shared" si="0"/>
        <v>PattersonConor</v>
      </c>
      <c r="D65" s="86">
        <f t="shared" si="1"/>
        <v>9100</v>
      </c>
      <c r="E65" s="57">
        <f t="shared" si="2"/>
        <v>4550</v>
      </c>
      <c r="F65" s="54" t="s">
        <v>191</v>
      </c>
      <c r="G65" s="54" t="s">
        <v>191</v>
      </c>
      <c r="H65" s="54" t="s">
        <v>191</v>
      </c>
      <c r="I65" s="54">
        <v>5150</v>
      </c>
      <c r="J65" s="54">
        <v>3950</v>
      </c>
      <c r="AA65" s="128"/>
      <c r="AC65" s="17"/>
    </row>
    <row r="66" spans="1:29" x14ac:dyDescent="0.2">
      <c r="A66" t="s">
        <v>131</v>
      </c>
      <c r="B66" t="s">
        <v>31</v>
      </c>
      <c r="C66" t="str">
        <f t="shared" si="0"/>
        <v>PolonskiLynn</v>
      </c>
      <c r="D66" s="86">
        <f>SUM(F66:Z66)</f>
        <v>23925</v>
      </c>
      <c r="E66" s="57">
        <f t="shared" si="2"/>
        <v>4785</v>
      </c>
      <c r="F66" s="54">
        <v>4660</v>
      </c>
      <c r="G66" s="54">
        <v>4040</v>
      </c>
      <c r="H66" s="54">
        <v>4250</v>
      </c>
      <c r="I66" s="54">
        <v>7000</v>
      </c>
      <c r="J66" s="54">
        <v>3975</v>
      </c>
      <c r="AA66" s="128"/>
      <c r="AC66" s="17"/>
    </row>
    <row r="67" spans="1:29" x14ac:dyDescent="0.2">
      <c r="A67" t="s">
        <v>132</v>
      </c>
      <c r="B67" t="s">
        <v>126</v>
      </c>
      <c r="C67" t="str">
        <f t="shared" ref="C67:C101" si="6">A67&amp;""&amp;B67</f>
        <v>PuntenneyJosh</v>
      </c>
      <c r="D67" s="86">
        <f>SUM(F67:Z67)</f>
        <v>41380</v>
      </c>
      <c r="E67" s="57">
        <f t="shared" ref="E67:E101" si="7">AVERAGE(F67:Z67)</f>
        <v>8276</v>
      </c>
      <c r="F67" s="54">
        <v>10075</v>
      </c>
      <c r="G67" s="54">
        <v>3080</v>
      </c>
      <c r="H67" s="54">
        <v>9050</v>
      </c>
      <c r="I67" s="54">
        <v>8000</v>
      </c>
      <c r="J67" s="54">
        <v>11175</v>
      </c>
      <c r="AA67" s="128"/>
      <c r="AC67" s="17"/>
    </row>
    <row r="68" spans="1:29" x14ac:dyDescent="0.2">
      <c r="A68" t="s">
        <v>133</v>
      </c>
      <c r="B68" t="s">
        <v>134</v>
      </c>
      <c r="C68" t="str">
        <f t="shared" si="6"/>
        <v>PurvisRob</v>
      </c>
      <c r="D68" s="86">
        <f>SUM(F68:Z68)</f>
        <v>87515</v>
      </c>
      <c r="E68" s="57">
        <f t="shared" si="7"/>
        <v>17503</v>
      </c>
      <c r="F68" s="54">
        <v>10795</v>
      </c>
      <c r="G68" s="54">
        <v>22395</v>
      </c>
      <c r="H68" s="54">
        <v>15590</v>
      </c>
      <c r="I68" s="54">
        <v>14810</v>
      </c>
      <c r="J68" s="54">
        <v>23925</v>
      </c>
      <c r="AA68" s="128"/>
      <c r="AC68" s="17"/>
    </row>
    <row r="69" spans="1:29" x14ac:dyDescent="0.2">
      <c r="A69" t="s">
        <v>135</v>
      </c>
      <c r="B69" t="s">
        <v>136</v>
      </c>
      <c r="C69" t="str">
        <f t="shared" si="6"/>
        <v>ReedClint</v>
      </c>
      <c r="D69" s="86">
        <f t="shared" ref="D69:D101" si="8">SUM(F69:Z69)</f>
        <v>3775</v>
      </c>
      <c r="E69" s="57">
        <f t="shared" si="7"/>
        <v>3775</v>
      </c>
      <c r="F69" s="54" t="s">
        <v>191</v>
      </c>
      <c r="G69" s="54" t="s">
        <v>191</v>
      </c>
      <c r="H69" s="54" t="s">
        <v>191</v>
      </c>
      <c r="I69" s="54" t="s">
        <v>191</v>
      </c>
      <c r="J69" s="54">
        <v>3775</v>
      </c>
      <c r="AA69" s="128"/>
      <c r="AC69" s="17"/>
    </row>
    <row r="70" spans="1:29" x14ac:dyDescent="0.2">
      <c r="A70" t="s">
        <v>137</v>
      </c>
      <c r="B70" t="s">
        <v>182</v>
      </c>
      <c r="C70" t="str">
        <f t="shared" si="6"/>
        <v xml:space="preserve">RepucciRyan </v>
      </c>
      <c r="D70" s="86">
        <f t="shared" si="8"/>
        <v>4750</v>
      </c>
      <c r="E70" s="57">
        <f t="shared" si="7"/>
        <v>4750</v>
      </c>
      <c r="F70" s="54" t="s">
        <v>191</v>
      </c>
      <c r="G70" s="54" t="s">
        <v>191</v>
      </c>
      <c r="H70" s="54" t="s">
        <v>191</v>
      </c>
      <c r="I70" s="54" t="s">
        <v>191</v>
      </c>
      <c r="J70" s="54">
        <v>4750</v>
      </c>
      <c r="AA70" s="128"/>
      <c r="AC70" s="17"/>
    </row>
    <row r="71" spans="1:29" x14ac:dyDescent="0.2">
      <c r="A71" t="s">
        <v>138</v>
      </c>
      <c r="B71" t="s">
        <v>139</v>
      </c>
      <c r="C71" t="str">
        <f t="shared" si="6"/>
        <v>RobinsonJason</v>
      </c>
      <c r="D71" s="86">
        <f t="shared" si="8"/>
        <v>13315</v>
      </c>
      <c r="E71" s="57">
        <f t="shared" si="7"/>
        <v>3328.75</v>
      </c>
      <c r="F71" s="54" t="s">
        <v>191</v>
      </c>
      <c r="G71" s="54">
        <v>4465</v>
      </c>
      <c r="H71" s="54">
        <v>2000</v>
      </c>
      <c r="I71" s="54">
        <v>2250</v>
      </c>
      <c r="J71" s="54">
        <v>4600</v>
      </c>
      <c r="AA71" s="128"/>
      <c r="AC71" s="17"/>
    </row>
    <row r="72" spans="1:29" x14ac:dyDescent="0.2">
      <c r="A72" t="s">
        <v>140</v>
      </c>
      <c r="B72" t="s">
        <v>141</v>
      </c>
      <c r="C72" t="str">
        <f t="shared" si="6"/>
        <v>RodriguezRich</v>
      </c>
      <c r="D72" s="86">
        <f>SUM(F72:Z72)</f>
        <v>54080</v>
      </c>
      <c r="E72" s="57">
        <f t="shared" si="7"/>
        <v>10816</v>
      </c>
      <c r="F72" s="54">
        <v>4300</v>
      </c>
      <c r="G72" s="54">
        <v>6705</v>
      </c>
      <c r="H72" s="54">
        <v>8050</v>
      </c>
      <c r="I72" s="54">
        <v>20250</v>
      </c>
      <c r="J72" s="54">
        <v>14775</v>
      </c>
      <c r="AA72" s="128"/>
      <c r="AC72" s="17"/>
    </row>
    <row r="73" spans="1:29" x14ac:dyDescent="0.2">
      <c r="A73" t="s">
        <v>144</v>
      </c>
      <c r="B73" t="s">
        <v>58</v>
      </c>
      <c r="C73" t="str">
        <f t="shared" si="6"/>
        <v>SarikasJohn</v>
      </c>
      <c r="D73" s="86">
        <f t="shared" si="8"/>
        <v>9625</v>
      </c>
      <c r="E73" s="57">
        <f t="shared" si="7"/>
        <v>4812.5</v>
      </c>
      <c r="F73" s="54" t="s">
        <v>191</v>
      </c>
      <c r="G73" s="54" t="s">
        <v>191</v>
      </c>
      <c r="H73" s="54" t="s">
        <v>191</v>
      </c>
      <c r="I73" s="54">
        <v>3500</v>
      </c>
      <c r="J73" s="54">
        <v>6125</v>
      </c>
      <c r="AA73" s="128"/>
      <c r="AC73" s="17"/>
    </row>
    <row r="74" spans="1:29" x14ac:dyDescent="0.2">
      <c r="A74" t="s">
        <v>147</v>
      </c>
      <c r="B74" t="s">
        <v>148</v>
      </c>
      <c r="C74" t="str">
        <f t="shared" si="6"/>
        <v>SaroniVianney</v>
      </c>
      <c r="D74" s="86">
        <f t="shared" si="8"/>
        <v>21115</v>
      </c>
      <c r="E74" s="57">
        <f t="shared" si="7"/>
        <v>5278.75</v>
      </c>
      <c r="F74" s="54" t="s">
        <v>191</v>
      </c>
      <c r="G74" s="54">
        <v>3140</v>
      </c>
      <c r="H74" s="54">
        <v>4000</v>
      </c>
      <c r="I74" s="54">
        <v>3500</v>
      </c>
      <c r="J74" s="54">
        <v>10475</v>
      </c>
      <c r="AA74" s="128"/>
      <c r="AC74" s="17"/>
    </row>
    <row r="75" spans="1:29" x14ac:dyDescent="0.2">
      <c r="A75" t="s">
        <v>149</v>
      </c>
      <c r="B75" t="s">
        <v>18</v>
      </c>
      <c r="C75" t="str">
        <f t="shared" si="6"/>
        <v>SchmidtMike</v>
      </c>
      <c r="D75" s="86">
        <f>SUM(F75:Z75)</f>
        <v>20990</v>
      </c>
      <c r="E75" s="57">
        <f t="shared" si="7"/>
        <v>4198</v>
      </c>
      <c r="F75" s="54">
        <v>2720</v>
      </c>
      <c r="G75" s="54">
        <v>2020</v>
      </c>
      <c r="H75" s="54">
        <v>5600</v>
      </c>
      <c r="I75" s="54">
        <v>7150</v>
      </c>
      <c r="J75" s="54">
        <v>3500</v>
      </c>
      <c r="AA75" s="128"/>
      <c r="AC75" s="17"/>
    </row>
    <row r="76" spans="1:29" x14ac:dyDescent="0.2">
      <c r="A76" t="s">
        <v>150</v>
      </c>
      <c r="B76" t="s">
        <v>35</v>
      </c>
      <c r="C76" t="str">
        <f t="shared" si="6"/>
        <v>SchmukerAndrew</v>
      </c>
      <c r="D76" s="86">
        <f t="shared" si="8"/>
        <v>26700</v>
      </c>
      <c r="E76" s="57">
        <f t="shared" si="7"/>
        <v>8900</v>
      </c>
      <c r="F76" s="54" t="s">
        <v>191</v>
      </c>
      <c r="G76" s="54" t="s">
        <v>191</v>
      </c>
      <c r="H76" s="54">
        <v>8050</v>
      </c>
      <c r="I76" s="54">
        <v>6900</v>
      </c>
      <c r="J76" s="54">
        <v>11750</v>
      </c>
      <c r="AA76" s="128"/>
      <c r="AC76" s="17"/>
    </row>
    <row r="77" spans="1:29" x14ac:dyDescent="0.2">
      <c r="A77" t="s">
        <v>151</v>
      </c>
      <c r="B77" t="s">
        <v>82</v>
      </c>
      <c r="C77" t="str">
        <f t="shared" si="6"/>
        <v>SchroederEric</v>
      </c>
      <c r="D77" s="86">
        <f>SUM(F77:Z77)</f>
        <v>37270</v>
      </c>
      <c r="E77" s="57">
        <f t="shared" si="7"/>
        <v>7454</v>
      </c>
      <c r="F77" s="54">
        <v>2720</v>
      </c>
      <c r="G77" s="54">
        <v>9830</v>
      </c>
      <c r="H77" s="54">
        <v>8720</v>
      </c>
      <c r="I77" s="54">
        <v>9200</v>
      </c>
      <c r="J77" s="54">
        <v>6800</v>
      </c>
      <c r="AA77" s="128"/>
      <c r="AC77" s="17"/>
    </row>
    <row r="78" spans="1:29" x14ac:dyDescent="0.2">
      <c r="A78" t="s">
        <v>152</v>
      </c>
      <c r="B78" t="s">
        <v>183</v>
      </c>
      <c r="C78" t="str">
        <f t="shared" si="6"/>
        <v xml:space="preserve">SeppTodd </v>
      </c>
      <c r="D78" s="86">
        <f t="shared" si="8"/>
        <v>11400</v>
      </c>
      <c r="E78" s="57">
        <f t="shared" si="7"/>
        <v>5700</v>
      </c>
      <c r="F78" s="54" t="s">
        <v>191</v>
      </c>
      <c r="G78" s="54" t="s">
        <v>191</v>
      </c>
      <c r="H78" s="54" t="s">
        <v>191</v>
      </c>
      <c r="I78" s="54">
        <v>6800</v>
      </c>
      <c r="J78" s="54">
        <v>4600</v>
      </c>
      <c r="AA78" s="128"/>
      <c r="AC78" s="17"/>
    </row>
    <row r="79" spans="1:29" x14ac:dyDescent="0.2">
      <c r="A79" t="s">
        <v>153</v>
      </c>
      <c r="B79" t="s">
        <v>154</v>
      </c>
      <c r="C79" t="str">
        <f t="shared" si="6"/>
        <v>Shaw, Jr.Billy</v>
      </c>
      <c r="D79" s="86">
        <f t="shared" si="8"/>
        <v>18780</v>
      </c>
      <c r="E79" s="57">
        <f t="shared" si="7"/>
        <v>4695</v>
      </c>
      <c r="F79" s="54" t="s">
        <v>191</v>
      </c>
      <c r="G79" s="54">
        <v>3535</v>
      </c>
      <c r="H79" s="54">
        <v>4350</v>
      </c>
      <c r="I79" s="54">
        <v>4170</v>
      </c>
      <c r="J79" s="54">
        <v>6725</v>
      </c>
      <c r="AA79" s="128"/>
      <c r="AC79" s="17"/>
    </row>
    <row r="80" spans="1:29" x14ac:dyDescent="0.2">
      <c r="A80" t="s">
        <v>156</v>
      </c>
      <c r="B80" t="s">
        <v>114</v>
      </c>
      <c r="C80" t="str">
        <f t="shared" si="6"/>
        <v>SkoczenAaron</v>
      </c>
      <c r="D80" s="86">
        <f>SUM(F80:Z80)</f>
        <v>12420</v>
      </c>
      <c r="E80" s="57">
        <f t="shared" si="7"/>
        <v>2484</v>
      </c>
      <c r="F80" s="54">
        <v>2400</v>
      </c>
      <c r="G80" s="54">
        <v>2020</v>
      </c>
      <c r="H80" s="54">
        <v>2100</v>
      </c>
      <c r="I80" s="54">
        <v>1900</v>
      </c>
      <c r="J80" s="54">
        <v>4000</v>
      </c>
      <c r="AA80" s="128"/>
      <c r="AC80" s="17"/>
    </row>
    <row r="81" spans="1:29" x14ac:dyDescent="0.2">
      <c r="A81" t="s">
        <v>157</v>
      </c>
      <c r="B81" t="s">
        <v>58</v>
      </c>
      <c r="C81" t="str">
        <f t="shared" si="6"/>
        <v>SmithJohn</v>
      </c>
      <c r="D81" s="86">
        <f>SUM(F81:Z81)</f>
        <v>17235</v>
      </c>
      <c r="E81" s="57">
        <f t="shared" si="7"/>
        <v>3447</v>
      </c>
      <c r="F81" s="54">
        <v>5240</v>
      </c>
      <c r="G81" s="54">
        <v>2145</v>
      </c>
      <c r="H81" s="54">
        <v>2000</v>
      </c>
      <c r="I81" s="54">
        <v>3850</v>
      </c>
      <c r="J81" s="54">
        <v>4000</v>
      </c>
      <c r="AA81" s="128"/>
      <c r="AC81" s="17"/>
    </row>
    <row r="82" spans="1:29" x14ac:dyDescent="0.2">
      <c r="A82" t="s">
        <v>159</v>
      </c>
      <c r="B82" t="s">
        <v>7</v>
      </c>
      <c r="C82" t="str">
        <f t="shared" si="6"/>
        <v>StutzGreg</v>
      </c>
      <c r="D82" s="86">
        <f t="shared" si="8"/>
        <v>30360</v>
      </c>
      <c r="E82" s="57">
        <f t="shared" si="7"/>
        <v>7590</v>
      </c>
      <c r="F82" s="54" t="s">
        <v>191</v>
      </c>
      <c r="G82" s="54">
        <v>5760</v>
      </c>
      <c r="H82" s="54">
        <v>6900</v>
      </c>
      <c r="I82" s="54">
        <v>8000</v>
      </c>
      <c r="J82" s="54">
        <v>9700</v>
      </c>
      <c r="AA82" s="128"/>
      <c r="AC82" s="17"/>
    </row>
    <row r="83" spans="1:29" x14ac:dyDescent="0.2">
      <c r="A83" t="s">
        <v>160</v>
      </c>
      <c r="B83" t="s">
        <v>161</v>
      </c>
      <c r="C83" t="str">
        <f t="shared" si="6"/>
        <v>ThompsonVictor</v>
      </c>
      <c r="D83" s="86">
        <f>SUM(F83:Z83)</f>
        <v>19250</v>
      </c>
      <c r="E83" s="57">
        <f t="shared" si="7"/>
        <v>3850</v>
      </c>
      <c r="F83" s="54">
        <v>6335</v>
      </c>
      <c r="G83" s="54">
        <v>3680</v>
      </c>
      <c r="H83" s="54">
        <v>2260</v>
      </c>
      <c r="I83" s="54">
        <v>3400</v>
      </c>
      <c r="J83" s="54">
        <v>3575</v>
      </c>
      <c r="AA83" s="128"/>
      <c r="AC83" s="17"/>
    </row>
    <row r="84" spans="1:29" x14ac:dyDescent="0.2">
      <c r="A84" t="s">
        <v>162</v>
      </c>
      <c r="B84" t="s">
        <v>76</v>
      </c>
      <c r="C84" t="str">
        <f t="shared" si="6"/>
        <v>TofelJim</v>
      </c>
      <c r="D84" s="86">
        <f>SUM(F84:Z84)</f>
        <v>177770</v>
      </c>
      <c r="E84" s="57">
        <f t="shared" si="7"/>
        <v>35554</v>
      </c>
      <c r="F84" s="54">
        <v>25305</v>
      </c>
      <c r="G84" s="54">
        <v>24940</v>
      </c>
      <c r="H84" s="54">
        <v>38025</v>
      </c>
      <c r="I84" s="54">
        <v>31600</v>
      </c>
      <c r="J84" s="54">
        <v>57900</v>
      </c>
      <c r="AA84" s="128"/>
      <c r="AC84" s="17"/>
    </row>
    <row r="85" spans="1:29" x14ac:dyDescent="0.2">
      <c r="A85" t="s">
        <v>163</v>
      </c>
      <c r="B85" t="s">
        <v>158</v>
      </c>
      <c r="C85" t="str">
        <f t="shared" si="6"/>
        <v>TuftsTravis</v>
      </c>
      <c r="D85" s="86">
        <f t="shared" si="8"/>
        <v>19765</v>
      </c>
      <c r="E85" s="57">
        <f t="shared" si="7"/>
        <v>6588.333333333333</v>
      </c>
      <c r="F85" s="54" t="s">
        <v>191</v>
      </c>
      <c r="G85" s="54" t="s">
        <v>191</v>
      </c>
      <c r="H85" s="54">
        <v>6800</v>
      </c>
      <c r="I85" s="54">
        <v>5040</v>
      </c>
      <c r="J85" s="54">
        <v>7925</v>
      </c>
      <c r="AA85" s="128"/>
      <c r="AC85" s="17"/>
    </row>
    <row r="86" spans="1:29" x14ac:dyDescent="0.2">
      <c r="A86" t="s">
        <v>164</v>
      </c>
      <c r="B86" t="s">
        <v>165</v>
      </c>
      <c r="C86" t="str">
        <f t="shared" si="6"/>
        <v>TvedtLukas</v>
      </c>
      <c r="D86" s="86">
        <f t="shared" si="8"/>
        <v>4950</v>
      </c>
      <c r="E86" s="57">
        <f t="shared" si="7"/>
        <v>4950</v>
      </c>
      <c r="F86" s="54" t="s">
        <v>191</v>
      </c>
      <c r="G86" s="54" t="s">
        <v>191</v>
      </c>
      <c r="H86" s="54" t="s">
        <v>191</v>
      </c>
      <c r="I86" s="54" t="s">
        <v>191</v>
      </c>
      <c r="J86" s="54">
        <v>4950</v>
      </c>
      <c r="AA86" s="128"/>
      <c r="AC86" s="17"/>
    </row>
    <row r="87" spans="1:29" x14ac:dyDescent="0.2">
      <c r="A87" t="s">
        <v>167</v>
      </c>
      <c r="B87" t="s">
        <v>18</v>
      </c>
      <c r="C87" t="str">
        <f t="shared" si="6"/>
        <v>VasquezMike</v>
      </c>
      <c r="D87" s="86">
        <f>SUM(F87:Z87)</f>
        <v>17390</v>
      </c>
      <c r="E87" s="57">
        <f t="shared" si="7"/>
        <v>3478</v>
      </c>
      <c r="F87" s="54">
        <v>4060</v>
      </c>
      <c r="G87" s="54">
        <v>3180</v>
      </c>
      <c r="H87" s="54">
        <v>3200</v>
      </c>
      <c r="I87" s="54">
        <v>5100</v>
      </c>
      <c r="J87" s="54">
        <v>1850</v>
      </c>
      <c r="AA87" s="128"/>
      <c r="AC87" s="17"/>
    </row>
    <row r="88" spans="1:29" x14ac:dyDescent="0.2">
      <c r="A88" t="s">
        <v>168</v>
      </c>
      <c r="B88" t="s">
        <v>82</v>
      </c>
      <c r="C88" t="str">
        <f t="shared" si="6"/>
        <v>VaughanEric</v>
      </c>
      <c r="D88" s="86">
        <f t="shared" si="8"/>
        <v>16900</v>
      </c>
      <c r="E88" s="57">
        <f t="shared" si="7"/>
        <v>8450</v>
      </c>
      <c r="F88" s="54" t="s">
        <v>191</v>
      </c>
      <c r="G88" s="54" t="s">
        <v>191</v>
      </c>
      <c r="H88" s="54" t="s">
        <v>191</v>
      </c>
      <c r="I88" s="54">
        <v>9300</v>
      </c>
      <c r="J88" s="54">
        <v>7600</v>
      </c>
      <c r="AA88" s="128"/>
      <c r="AC88" s="17"/>
    </row>
    <row r="89" spans="1:29" x14ac:dyDescent="0.2">
      <c r="A89" t="s">
        <v>169</v>
      </c>
      <c r="B89" t="s">
        <v>155</v>
      </c>
      <c r="C89" t="str">
        <f t="shared" si="6"/>
        <v>VorholzerSteve</v>
      </c>
      <c r="D89" s="86">
        <f>SUM(F89:Z89)</f>
        <v>145810</v>
      </c>
      <c r="E89" s="57">
        <f t="shared" si="7"/>
        <v>29162</v>
      </c>
      <c r="F89" s="54">
        <v>22575</v>
      </c>
      <c r="G89" s="54">
        <v>25215</v>
      </c>
      <c r="H89" s="54">
        <v>38100</v>
      </c>
      <c r="I89" s="54">
        <v>31420</v>
      </c>
      <c r="J89" s="54">
        <v>28500</v>
      </c>
      <c r="AA89" s="128"/>
      <c r="AC89" s="17"/>
    </row>
    <row r="90" spans="1:29" x14ac:dyDescent="0.2">
      <c r="A90" t="s">
        <v>170</v>
      </c>
      <c r="B90" t="s">
        <v>75</v>
      </c>
      <c r="C90" t="str">
        <f t="shared" si="6"/>
        <v>WardJohnny</v>
      </c>
      <c r="D90" s="86">
        <f>SUM(F90:Z90)</f>
        <v>33045</v>
      </c>
      <c r="E90" s="57">
        <f t="shared" si="7"/>
        <v>6609</v>
      </c>
      <c r="F90" s="54">
        <v>5470</v>
      </c>
      <c r="G90" s="54">
        <v>8645</v>
      </c>
      <c r="H90" s="54">
        <v>9130</v>
      </c>
      <c r="I90" s="54">
        <v>6300</v>
      </c>
      <c r="J90" s="54">
        <v>3500</v>
      </c>
      <c r="AA90" s="128"/>
      <c r="AC90" s="17"/>
    </row>
    <row r="91" spans="1:29" x14ac:dyDescent="0.2">
      <c r="A91" t="s">
        <v>171</v>
      </c>
      <c r="B91" t="s">
        <v>172</v>
      </c>
      <c r="C91" t="str">
        <f t="shared" si="6"/>
        <v>WarfieldTyler</v>
      </c>
      <c r="D91" s="86">
        <f t="shared" si="8"/>
        <v>111565</v>
      </c>
      <c r="E91" s="57">
        <f t="shared" si="7"/>
        <v>27891.25</v>
      </c>
      <c r="F91" s="54" t="s">
        <v>191</v>
      </c>
      <c r="G91" s="54">
        <v>7880</v>
      </c>
      <c r="H91" s="54">
        <v>14900</v>
      </c>
      <c r="I91" s="54">
        <v>17310</v>
      </c>
      <c r="J91" s="54">
        <v>71475</v>
      </c>
      <c r="AA91" s="128"/>
      <c r="AC91" s="17"/>
    </row>
    <row r="92" spans="1:29" x14ac:dyDescent="0.2">
      <c r="A92" t="s">
        <v>173</v>
      </c>
      <c r="B92" t="s">
        <v>50</v>
      </c>
      <c r="C92" t="str">
        <f t="shared" si="6"/>
        <v>ZeillerSteven</v>
      </c>
      <c r="D92" s="86">
        <f>SUM(F92:Z92)</f>
        <v>27660</v>
      </c>
      <c r="E92" s="57">
        <f t="shared" si="7"/>
        <v>5532</v>
      </c>
      <c r="F92" s="54">
        <v>5800</v>
      </c>
      <c r="G92" s="54">
        <v>4750</v>
      </c>
      <c r="H92" s="54">
        <v>4750</v>
      </c>
      <c r="I92" s="54">
        <v>6810</v>
      </c>
      <c r="J92" s="54">
        <v>5550</v>
      </c>
      <c r="AA92" s="128"/>
    </row>
    <row r="93" spans="1:29" x14ac:dyDescent="0.2">
      <c r="A93" s="52" t="s">
        <v>4</v>
      </c>
      <c r="B93" s="52" t="s">
        <v>5</v>
      </c>
      <c r="C93" s="52" t="str">
        <f t="shared" si="6"/>
        <v>AdamsTodd</v>
      </c>
      <c r="D93" s="87">
        <f t="shared" si="8"/>
        <v>0</v>
      </c>
      <c r="E93" s="93">
        <f t="shared" si="7"/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AA93" s="128"/>
    </row>
    <row r="94" spans="1:29" x14ac:dyDescent="0.2">
      <c r="A94" s="52" t="s">
        <v>29</v>
      </c>
      <c r="B94" s="52" t="s">
        <v>30</v>
      </c>
      <c r="C94" s="52" t="str">
        <f t="shared" si="6"/>
        <v>CasselberryDanny</v>
      </c>
      <c r="D94" s="87">
        <f t="shared" si="8"/>
        <v>0</v>
      </c>
      <c r="E94" s="93">
        <f t="shared" si="7"/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AA94" s="128"/>
    </row>
    <row r="95" spans="1:29" x14ac:dyDescent="0.2">
      <c r="A95" s="52" t="s">
        <v>42</v>
      </c>
      <c r="B95" s="52" t="s">
        <v>43</v>
      </c>
      <c r="C95" s="52" t="str">
        <f t="shared" si="6"/>
        <v>CruzHiram</v>
      </c>
      <c r="D95" s="87">
        <f t="shared" si="8"/>
        <v>0</v>
      </c>
      <c r="E95" s="93">
        <f t="shared" si="7"/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AA95" s="128"/>
    </row>
    <row r="96" spans="1:29" x14ac:dyDescent="0.2">
      <c r="A96" s="52" t="s">
        <v>66</v>
      </c>
      <c r="B96" s="52" t="s">
        <v>67</v>
      </c>
      <c r="C96" s="52" t="str">
        <f t="shared" si="6"/>
        <v>GomezFrank</v>
      </c>
      <c r="D96" s="87">
        <f t="shared" si="8"/>
        <v>0</v>
      </c>
      <c r="E96" s="93">
        <f t="shared" si="7"/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AA96" s="128"/>
    </row>
    <row r="97" spans="1:27" x14ac:dyDescent="0.2">
      <c r="A97" s="52" t="s">
        <v>106</v>
      </c>
      <c r="B97" s="52" t="s">
        <v>107</v>
      </c>
      <c r="C97" s="52" t="str">
        <f t="shared" si="6"/>
        <v>MayerNico</v>
      </c>
      <c r="D97" s="87">
        <f t="shared" si="8"/>
        <v>0</v>
      </c>
      <c r="E97" s="93">
        <f t="shared" si="7"/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AA97" s="128"/>
    </row>
    <row r="98" spans="1:27" x14ac:dyDescent="0.2">
      <c r="A98" s="52" t="s">
        <v>142</v>
      </c>
      <c r="B98" s="52" t="s">
        <v>139</v>
      </c>
      <c r="C98" s="52" t="str">
        <f t="shared" si="6"/>
        <v>SabourinJason</v>
      </c>
      <c r="D98" s="87">
        <f t="shared" si="8"/>
        <v>0</v>
      </c>
      <c r="E98" s="93">
        <f t="shared" si="7"/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AA98" s="128"/>
    </row>
    <row r="99" spans="1:27" x14ac:dyDescent="0.2">
      <c r="A99" s="52" t="s">
        <v>142</v>
      </c>
      <c r="B99" s="52" t="s">
        <v>143</v>
      </c>
      <c r="C99" s="52" t="str">
        <f t="shared" si="6"/>
        <v>SabourinJeremy</v>
      </c>
      <c r="D99" s="87">
        <f t="shared" si="8"/>
        <v>0</v>
      </c>
      <c r="E99" s="93">
        <f t="shared" si="7"/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AA99" s="128"/>
    </row>
    <row r="100" spans="1:27" x14ac:dyDescent="0.2">
      <c r="A100" s="52" t="s">
        <v>145</v>
      </c>
      <c r="B100" s="52" t="s">
        <v>146</v>
      </c>
      <c r="C100" s="52" t="str">
        <f t="shared" si="6"/>
        <v>Sarnoski Kenny</v>
      </c>
      <c r="D100" s="87">
        <f t="shared" si="8"/>
        <v>0</v>
      </c>
      <c r="E100" s="93">
        <f t="shared" si="7"/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AA100" s="128"/>
    </row>
    <row r="101" spans="1:27" x14ac:dyDescent="0.2">
      <c r="A101" s="52" t="s">
        <v>166</v>
      </c>
      <c r="B101" s="52" t="s">
        <v>84</v>
      </c>
      <c r="C101" s="52" t="str">
        <f t="shared" si="6"/>
        <v>UnderhillJordan</v>
      </c>
      <c r="D101" s="87">
        <f t="shared" si="8"/>
        <v>0</v>
      </c>
      <c r="E101" s="93">
        <f t="shared" si="7"/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AA101" s="1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301</vt:i4>
      </vt:variant>
    </vt:vector>
  </HeadingPairs>
  <TitlesOfParts>
    <vt:vector size="305" baseType="lpstr">
      <vt:lpstr>POINTS SUMMARY</vt:lpstr>
      <vt:lpstr>MEMBERSHIP SERVICE</vt:lpstr>
      <vt:lpstr>EVENT SERVICE</vt:lpstr>
      <vt:lpstr>EVENT SALES</vt:lpstr>
      <vt:lpstr>AaronMeyerEVENT</vt:lpstr>
      <vt:lpstr>AaronMeyerMEMB</vt:lpstr>
      <vt:lpstr>AaronMeyerSALES</vt:lpstr>
      <vt:lpstr>AaronSkoczenEVENT</vt:lpstr>
      <vt:lpstr>AaronSkoczenMEMB</vt:lpstr>
      <vt:lpstr>AaronSkoczenSALES</vt:lpstr>
      <vt:lpstr>AdamBegodyEVENT</vt:lpstr>
      <vt:lpstr>AdamBegodyMEMB</vt:lpstr>
      <vt:lpstr>AdamBegodySALES</vt:lpstr>
      <vt:lpstr>AdamChurchillEVENT</vt:lpstr>
      <vt:lpstr>AdamChurchillMEMB</vt:lpstr>
      <vt:lpstr>AdamChurchillSALES</vt:lpstr>
      <vt:lpstr>AdamDellosEVENT</vt:lpstr>
      <vt:lpstr>AdamDellosMEMB</vt:lpstr>
      <vt:lpstr>AdamDellosSALES</vt:lpstr>
      <vt:lpstr>AJEmamiEVENT</vt:lpstr>
      <vt:lpstr>AJEmamiMEMB</vt:lpstr>
      <vt:lpstr>AJEmamiSALES</vt:lpstr>
      <vt:lpstr>AmadoGregEVENT</vt:lpstr>
      <vt:lpstr>AndrewClarkEVENT</vt:lpstr>
      <vt:lpstr>AndrewClarkMEMB</vt:lpstr>
      <vt:lpstr>AndrewClarkSALES</vt:lpstr>
      <vt:lpstr>AndrewSchmukerEVENT</vt:lpstr>
      <vt:lpstr>AndrewSchmukerMEMB</vt:lpstr>
      <vt:lpstr>AndrewSchmukerSALES</vt:lpstr>
      <vt:lpstr>AndyBrownEVENT</vt:lpstr>
      <vt:lpstr>AndyBrownMEMB</vt:lpstr>
      <vt:lpstr>AndyBrownSALES</vt:lpstr>
      <vt:lpstr>BenKornEVENT</vt:lpstr>
      <vt:lpstr>BenKornMEMB</vt:lpstr>
      <vt:lpstr>BenKornSALES</vt:lpstr>
      <vt:lpstr>BenLadridoEVENT</vt:lpstr>
      <vt:lpstr>BenLadridoMEMB</vt:lpstr>
      <vt:lpstr>BenLadridoSALES</vt:lpstr>
      <vt:lpstr>BillFetzerEVENT</vt:lpstr>
      <vt:lpstr>BillFetzerSALES</vt:lpstr>
      <vt:lpstr>BillFetzetMEMB</vt:lpstr>
      <vt:lpstr>BillyShawEVENT</vt:lpstr>
      <vt:lpstr>BillyShawMEMB</vt:lpstr>
      <vt:lpstr>BillyShawSALES</vt:lpstr>
      <vt:lpstr>BrettGouldEVENT</vt:lpstr>
      <vt:lpstr>BrettGouldMEMB</vt:lpstr>
      <vt:lpstr>BrettGouldSALES</vt:lpstr>
      <vt:lpstr>BrianBurnettEVENT</vt:lpstr>
      <vt:lpstr>BrianBurnettMEMB</vt:lpstr>
      <vt:lpstr>BrianBurnettSALES</vt:lpstr>
      <vt:lpstr>BrianCrowleyEVENT</vt:lpstr>
      <vt:lpstr>BrianCrowleyMEMB</vt:lpstr>
      <vt:lpstr>BrianCrowleySALES</vt:lpstr>
      <vt:lpstr>BrianGardnerEVENT</vt:lpstr>
      <vt:lpstr>BrianGardnerMEMB</vt:lpstr>
      <vt:lpstr>BrianGardnerSALES</vt:lpstr>
      <vt:lpstr>BroganKemmerlyEVENT</vt:lpstr>
      <vt:lpstr>BroganKemmerlyMEMB</vt:lpstr>
      <vt:lpstr>BroganKemmerlySALES</vt:lpstr>
      <vt:lpstr>BryanFoersterEVENT</vt:lpstr>
      <vt:lpstr>BryanFoersterMEMB</vt:lpstr>
      <vt:lpstr>BryanFoersterSALES</vt:lpstr>
      <vt:lpstr>CameronMcKayEVENT</vt:lpstr>
      <vt:lpstr>CameronMcKayMEMB</vt:lpstr>
      <vt:lpstr>CameronMcKaySALES</vt:lpstr>
      <vt:lpstr>CameronMooreEVENT</vt:lpstr>
      <vt:lpstr>CameronMooreMEMB</vt:lpstr>
      <vt:lpstr>CameronMooreSALES</vt:lpstr>
      <vt:lpstr>ChadCarneyEVENT</vt:lpstr>
      <vt:lpstr>ChadCarneyMEMB</vt:lpstr>
      <vt:lpstr>ChadCarneySALES</vt:lpstr>
      <vt:lpstr>ChrisBrewsterEVENT</vt:lpstr>
      <vt:lpstr>ChrisBrewsterMEMB</vt:lpstr>
      <vt:lpstr>ChrisBrewsterSALES</vt:lpstr>
      <vt:lpstr>ChrisCohenEVENT</vt:lpstr>
      <vt:lpstr>ChrisCohenMEMB</vt:lpstr>
      <vt:lpstr>ChrisCohenSALES</vt:lpstr>
      <vt:lpstr>ChrisJohnsonEVENT</vt:lpstr>
      <vt:lpstr>ChrisJohnsonMEMB</vt:lpstr>
      <vt:lpstr>ChrisJohnsonSALES</vt:lpstr>
      <vt:lpstr>ChrisJordanEVENT</vt:lpstr>
      <vt:lpstr>ChrisJordanMEMB</vt:lpstr>
      <vt:lpstr>ChrisJordanSALES</vt:lpstr>
      <vt:lpstr>ClintReedEVENT</vt:lpstr>
      <vt:lpstr>ClintReedMEMB</vt:lpstr>
      <vt:lpstr>ClintReedSALES</vt:lpstr>
      <vt:lpstr>ConorPattersonEVENT</vt:lpstr>
      <vt:lpstr>ConorPattersonMEMB</vt:lpstr>
      <vt:lpstr>ConorPattersonSALES</vt:lpstr>
      <vt:lpstr>CraigEdwardsEVENT</vt:lpstr>
      <vt:lpstr>CraigEdwardsMEMB</vt:lpstr>
      <vt:lpstr>CraigEdwardsSALES</vt:lpstr>
      <vt:lpstr>DanDolanEVENT</vt:lpstr>
      <vt:lpstr>DanDolanMEMB</vt:lpstr>
      <vt:lpstr>DanDolanSALES</vt:lpstr>
      <vt:lpstr>DanNentlEVENT</vt:lpstr>
      <vt:lpstr>DanNentlMEMB</vt:lpstr>
      <vt:lpstr>DanNentlSALES</vt:lpstr>
      <vt:lpstr>DannyCasselberryEVENT</vt:lpstr>
      <vt:lpstr>DannyCasselberryMEMB</vt:lpstr>
      <vt:lpstr>DannyCasselberrySALES</vt:lpstr>
      <vt:lpstr>DennisCaldwellEVENT</vt:lpstr>
      <vt:lpstr>DennisCaldwellMEMB</vt:lpstr>
      <vt:lpstr>DennisCaldwellSALES</vt:lpstr>
      <vt:lpstr>DeronDavenportEVENT</vt:lpstr>
      <vt:lpstr>DeronDavenportMEMB</vt:lpstr>
      <vt:lpstr>DeronDavenportSALES</vt:lpstr>
      <vt:lpstr>DonColemanEVENT</vt:lpstr>
      <vt:lpstr>DonColemanMEMB</vt:lpstr>
      <vt:lpstr>DonColemanSALES</vt:lpstr>
      <vt:lpstr>EricJacobsonEVENT</vt:lpstr>
      <vt:lpstr>EricJacobsonMEMB</vt:lpstr>
      <vt:lpstr>EricJacobsonSALES</vt:lpstr>
      <vt:lpstr>EricSchroederEVENT</vt:lpstr>
      <vt:lpstr>EricSchroederMEMB</vt:lpstr>
      <vt:lpstr>EricSchroederSALES</vt:lpstr>
      <vt:lpstr>EricVaughanEVENT</vt:lpstr>
      <vt:lpstr>EricVaughanMEMB</vt:lpstr>
      <vt:lpstr>EricVaughanSALES</vt:lpstr>
      <vt:lpstr>FrankGomezEVENT</vt:lpstr>
      <vt:lpstr>FrankGomezMEMB</vt:lpstr>
      <vt:lpstr>FrankGomezSALES</vt:lpstr>
      <vt:lpstr>GregAmadoEVENT</vt:lpstr>
      <vt:lpstr>GregAmadoMEMB</vt:lpstr>
      <vt:lpstr>GregAmadoSALES</vt:lpstr>
      <vt:lpstr>GregStutzEVENT</vt:lpstr>
      <vt:lpstr>GregStutzMEMB</vt:lpstr>
      <vt:lpstr>GregStutzSALES</vt:lpstr>
      <vt:lpstr>HiramCruzEVENT</vt:lpstr>
      <vt:lpstr>HiramCruzMEMB</vt:lpstr>
      <vt:lpstr>HiramCruzSALES</vt:lpstr>
      <vt:lpstr>IsaacFigueroaEVENT</vt:lpstr>
      <vt:lpstr>IsaacFigueroaMEMB</vt:lpstr>
      <vt:lpstr>IsaacFigueroaSALES</vt:lpstr>
      <vt:lpstr>JasonRobinsonEVENT</vt:lpstr>
      <vt:lpstr>JasonRobinsonMEMB</vt:lpstr>
      <vt:lpstr>JasonRobinsonSALES</vt:lpstr>
      <vt:lpstr>JasonSabourinEVENT</vt:lpstr>
      <vt:lpstr>JasonSabourinMEMB</vt:lpstr>
      <vt:lpstr>JasonSabourinSALES</vt:lpstr>
      <vt:lpstr>JayHealyEVENT</vt:lpstr>
      <vt:lpstr>JayHealyMEMB</vt:lpstr>
      <vt:lpstr>JayHealySALES</vt:lpstr>
      <vt:lpstr>JedLightcapEVENT</vt:lpstr>
      <vt:lpstr>JedLightcapMEMB</vt:lpstr>
      <vt:lpstr>jedLightcapSALES</vt:lpstr>
      <vt:lpstr>JeffreyKowalewskiEVENT</vt:lpstr>
      <vt:lpstr>JeffreyKowalewskiMEMB</vt:lpstr>
      <vt:lpstr>JeffreyKowalewskiSALES</vt:lpstr>
      <vt:lpstr>JeremySabourinEVENT</vt:lpstr>
      <vt:lpstr>JeremySabourinMEMB</vt:lpstr>
      <vt:lpstr>JeremySabourinSALES</vt:lpstr>
      <vt:lpstr>JimMegerEVENT</vt:lpstr>
      <vt:lpstr>JimMegerMEMB</vt:lpstr>
      <vt:lpstr>JimMegerSALES</vt:lpstr>
      <vt:lpstr>JimTofelEVENT</vt:lpstr>
      <vt:lpstr>JimTofelMEMB</vt:lpstr>
      <vt:lpstr>JimTofelSALES</vt:lpstr>
      <vt:lpstr>JoelMoskowitzEVENT</vt:lpstr>
      <vt:lpstr>JoelMoskowitzMEMB</vt:lpstr>
      <vt:lpstr>JoelMoskowitzSALES</vt:lpstr>
      <vt:lpstr>JohnnyWardEVENT</vt:lpstr>
      <vt:lpstr>JohnnyWardMEMB</vt:lpstr>
      <vt:lpstr>JohnnyWardSASLES</vt:lpstr>
      <vt:lpstr>JohnSarikasEVENT</vt:lpstr>
      <vt:lpstr>JohnSarikasMEMB</vt:lpstr>
      <vt:lpstr>JohnSarikasSALES</vt:lpstr>
      <vt:lpstr>JohnSmithEVENT</vt:lpstr>
      <vt:lpstr>JohnSmithMEMB</vt:lpstr>
      <vt:lpstr>JohnSmithSALES</vt:lpstr>
      <vt:lpstr>JordanUnderhillEVENT</vt:lpstr>
      <vt:lpstr>JordanUnderhillMEMB</vt:lpstr>
      <vt:lpstr>JordanUnderhillSALES</vt:lpstr>
      <vt:lpstr>JoshOroscoEVENT</vt:lpstr>
      <vt:lpstr>JoshOroscoMEMB</vt:lpstr>
      <vt:lpstr>JoshOroscoSALES</vt:lpstr>
      <vt:lpstr>JoshPuntenneyEVENT</vt:lpstr>
      <vt:lpstr>JoshPuntenneyMEMB</vt:lpstr>
      <vt:lpstr>JoshPuntenneySALES</vt:lpstr>
      <vt:lpstr>KennySarnoskiEVENT</vt:lpstr>
      <vt:lpstr>KennySarnoskiMEMB</vt:lpstr>
      <vt:lpstr>KennySarnoskiSALES</vt:lpstr>
      <vt:lpstr>KevinBedientEVENT</vt:lpstr>
      <vt:lpstr>KevinBedientMEMB</vt:lpstr>
      <vt:lpstr>KevinBedientSALES</vt:lpstr>
      <vt:lpstr>LarryBailliereEVENT</vt:lpstr>
      <vt:lpstr>LarryBailliereMEMB</vt:lpstr>
      <vt:lpstr>LarryBailliereSALES</vt:lpstr>
      <vt:lpstr>LukasTvedtEVENT</vt:lpstr>
      <vt:lpstr>LukasTvedtMEMB</vt:lpstr>
      <vt:lpstr>LukasTvedtSALES</vt:lpstr>
      <vt:lpstr>LynnPolonskiEVENT</vt:lpstr>
      <vt:lpstr>LynnPolonskiMEMB</vt:lpstr>
      <vt:lpstr>LynnPolonskiSALES</vt:lpstr>
      <vt:lpstr>MattHarperEVENT</vt:lpstr>
      <vt:lpstr>MattHarperMEMB</vt:lpstr>
      <vt:lpstr>MattHarperSALES</vt:lpstr>
      <vt:lpstr>MikeCenskyEVENT</vt:lpstr>
      <vt:lpstr>MikeCenskyMEMB</vt:lpstr>
      <vt:lpstr>MikeCenskySALES</vt:lpstr>
      <vt:lpstr>MikeSchmidtEVENT</vt:lpstr>
      <vt:lpstr>MikeSchmidtMEMB</vt:lpstr>
      <vt:lpstr>MikeSchmidtSALES</vt:lpstr>
      <vt:lpstr>MikeVasquezEVENT</vt:lpstr>
      <vt:lpstr>MikeVasquezMEMB</vt:lpstr>
      <vt:lpstr>MikeVasquezSALES</vt:lpstr>
      <vt:lpstr>NathanLanhamBairdEVENT</vt:lpstr>
      <vt:lpstr>NathanLanhamBairdMEMB</vt:lpstr>
      <vt:lpstr>NathanLanhamBairdSALES</vt:lpstr>
      <vt:lpstr>NickKreutzEVENT</vt:lpstr>
      <vt:lpstr>NickKreutzMEMB</vt:lpstr>
      <vt:lpstr>NickKreutzSALES</vt:lpstr>
      <vt:lpstr>NickMenkeEVENT</vt:lpstr>
      <vt:lpstr>NickMenkeMEMB</vt:lpstr>
      <vt:lpstr>NickMenkeSALES</vt:lpstr>
      <vt:lpstr>NicoMayerEVENT</vt:lpstr>
      <vt:lpstr>NicoMayerMEMB</vt:lpstr>
      <vt:lpstr>NicoMayerSALES</vt:lpstr>
      <vt:lpstr>PatCocoEVENT</vt:lpstr>
      <vt:lpstr>PatCocoMEMB</vt:lpstr>
      <vt:lpstr>PatCocoSALES</vt:lpstr>
      <vt:lpstr>PatrickMurphyEVENT</vt:lpstr>
      <vt:lpstr>PatrickMurphyMEMB</vt:lpstr>
      <vt:lpstr>PatrickMurphySALES</vt:lpstr>
      <vt:lpstr>ReggieGearyEVENT</vt:lpstr>
      <vt:lpstr>ReggieGearyMEMB</vt:lpstr>
      <vt:lpstr>ReggieGearySALES</vt:lpstr>
      <vt:lpstr>RichRodriguezEVENT</vt:lpstr>
      <vt:lpstr>RichRodriguezMEMB</vt:lpstr>
      <vt:lpstr>RichRodriguezSALES</vt:lpstr>
      <vt:lpstr>RobPurvisEVENT</vt:lpstr>
      <vt:lpstr>RobPurvisMEMB</vt:lpstr>
      <vt:lpstr>RobPurvisSALES</vt:lpstr>
      <vt:lpstr>RudyGarciaEVENT</vt:lpstr>
      <vt:lpstr>RudyGarciaMEMB</vt:lpstr>
      <vt:lpstr>RudyGarciaSALES</vt:lpstr>
      <vt:lpstr>RyanRepucciEVENT</vt:lpstr>
      <vt:lpstr>RyanRepucciMEMB</vt:lpstr>
      <vt:lpstr>RyanRepucciSALES</vt:lpstr>
      <vt:lpstr>ScottBaderEVENT</vt:lpstr>
      <vt:lpstr>ScottBaderMEMB</vt:lpstr>
      <vt:lpstr>ScottBaderSALES</vt:lpstr>
      <vt:lpstr>SeanMurrayEVENT</vt:lpstr>
      <vt:lpstr>SeanMurrayMEMB</vt:lpstr>
      <vt:lpstr>SeanMurraySALES</vt:lpstr>
      <vt:lpstr>SpanklyNannaSALES</vt:lpstr>
      <vt:lpstr>SpankyNanaMEMB</vt:lpstr>
      <vt:lpstr>SpankyNannaEVENT</vt:lpstr>
      <vt:lpstr>StevenEddyEVENT</vt:lpstr>
      <vt:lpstr>StevenEddyMEMB</vt:lpstr>
      <vt:lpstr>StevenEddySALES</vt:lpstr>
      <vt:lpstr>StevenZeillerEVENT</vt:lpstr>
      <vt:lpstr>StevenZeilLerMEMB</vt:lpstr>
      <vt:lpstr>StevenZeillerSALES</vt:lpstr>
      <vt:lpstr>SteveVorholzerEVENT</vt:lpstr>
      <vt:lpstr>SteveVorholzerMEMB</vt:lpstr>
      <vt:lpstr>SteveVorholzerSALES</vt:lpstr>
      <vt:lpstr>StevieHopkinsEVENT</vt:lpstr>
      <vt:lpstr>StevieHopkinsMEMB</vt:lpstr>
      <vt:lpstr>StevieHopkinsSALES</vt:lpstr>
      <vt:lpstr>TedKlineEVENT</vt:lpstr>
      <vt:lpstr>TedKlineMEMB</vt:lpstr>
      <vt:lpstr>TedKlineSALES</vt:lpstr>
      <vt:lpstr>TimAbeytaEVENT</vt:lpstr>
      <vt:lpstr>TimAbeytaMEMB</vt:lpstr>
      <vt:lpstr>TimAbeytaSALES</vt:lpstr>
      <vt:lpstr>ToddAdamsEVENT</vt:lpstr>
      <vt:lpstr>ToddAdamsMEMB</vt:lpstr>
      <vt:lpstr>ToddAdamsSALES</vt:lpstr>
      <vt:lpstr>ToddSeppEVENT</vt:lpstr>
      <vt:lpstr>ToddSeppMEMB</vt:lpstr>
      <vt:lpstr>ToddSeppSALES</vt:lpstr>
      <vt:lpstr>TomMcKinneyEVENT</vt:lpstr>
      <vt:lpstr>TomMcKinneyMEMB</vt:lpstr>
      <vt:lpstr>TomMcKinneySALES</vt:lpstr>
      <vt:lpstr>TommyKingEVENT</vt:lpstr>
      <vt:lpstr>TommyKingMEMB</vt:lpstr>
      <vt:lpstr>TommyKingSALES</vt:lpstr>
      <vt:lpstr>TravisTuftsEVENT</vt:lpstr>
      <vt:lpstr>TravisTuftsMEMB</vt:lpstr>
      <vt:lpstr>TravisTuftsSALES</vt:lpstr>
      <vt:lpstr>TroyHochEVENT</vt:lpstr>
      <vt:lpstr>TroyHochMEMB</vt:lpstr>
      <vt:lpstr>TroyHochSALES</vt:lpstr>
      <vt:lpstr>TylerWarfieldEVENT</vt:lpstr>
      <vt:lpstr>TylerWarfieldMEMB</vt:lpstr>
      <vt:lpstr>TylerWarfieldSALES</vt:lpstr>
      <vt:lpstr>VianneySaroniEVENT</vt:lpstr>
      <vt:lpstr>VianneySaroniMEMB</vt:lpstr>
      <vt:lpstr>VianneySaroniSALES</vt:lpstr>
      <vt:lpstr>VictorThompsonEVENT</vt:lpstr>
      <vt:lpstr>VictorThompsonMEMB</vt:lpstr>
      <vt:lpstr>VictorThompsonSALES</vt:lpstr>
      <vt:lpstr>VijayPatelEVENT</vt:lpstr>
      <vt:lpstr>VijayPatelMEMB</vt:lpstr>
      <vt:lpstr>VijayPatelSALES</vt:lpstr>
      <vt:lpstr>VinceGonzalesEVENT</vt:lpstr>
      <vt:lpstr>VinceGonzalesSALES</vt:lpstr>
      <vt:lpstr>VinceGonzlesMEMB</vt:lpstr>
      <vt:lpstr>ZachLambrightEVENT</vt:lpstr>
      <vt:lpstr>ZachLambrightMEMB</vt:lpstr>
      <vt:lpstr>ZachLambrightSALES</vt:lpstr>
      <vt:lpstr>ZackLevinEVENT</vt:lpstr>
      <vt:lpstr>ZackLevinMEMB</vt:lpstr>
      <vt:lpstr>ZackLevinSALES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Hanson</dc:creator>
  <cp:lastModifiedBy>Chris Hanson</cp:lastModifiedBy>
  <dcterms:created xsi:type="dcterms:W3CDTF">2025-05-13T22:46:47Z</dcterms:created>
  <dcterms:modified xsi:type="dcterms:W3CDTF">2025-06-12T23:26:24Z</dcterms:modified>
</cp:coreProperties>
</file>